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GPyr+U+MzkS9r8yultYYPT2j9P/ojfcVF3PVrVoDqZx8gvhZ1/Fl/Zw3AzqqQX7ZvgfprK7kR/cabld+wDherA==" workbookSaltValue="vlzwUxdi/iPRWSnanhZsl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L13" i="2" s="1"/>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AZ13" i="11"/>
  <c r="BL25" i="11"/>
  <c r="AZ9" i="11"/>
  <c r="AZ14" i="11" s="1"/>
  <c r="BM20" i="11"/>
  <c r="BJ28" i="11"/>
  <c r="BU28" i="17"/>
  <c r="BU11" i="17"/>
  <c r="BW9" i="20"/>
  <c r="BU21" i="17"/>
  <c r="BV17" i="16"/>
  <c r="BW17" i="20"/>
  <c r="BV25" i="16"/>
  <c r="BW16" i="20"/>
  <c r="U10" i="17"/>
  <c r="BV10" i="16"/>
  <c r="BU18" i="17"/>
  <c r="S11" i="17"/>
  <c r="BV20" i="16"/>
  <c r="T14" i="16"/>
  <c r="AZ22" i="11"/>
  <c r="R28" i="14"/>
  <c r="X16" i="17"/>
  <c r="T17"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X10" i="21"/>
  <c r="AO14" i="21"/>
  <c r="L19" i="2"/>
  <c r="U9" i="17"/>
  <c r="U31" i="17" s="1"/>
  <c r="L9" i="2"/>
  <c r="AP14" i="16"/>
  <c r="V25" i="16"/>
  <c r="X13" i="16"/>
  <c r="T23" i="17"/>
  <c r="T26" i="17" s="1"/>
  <c r="T30" i="17" s="1"/>
  <c r="BG16" i="13"/>
  <c r="BE17" i="13"/>
  <c r="BE16" i="13"/>
  <c r="G23" i="14"/>
  <c r="X32" i="20"/>
  <c r="G30" i="14"/>
  <c r="BF17" i="8" l="1"/>
  <c r="BD12" i="8"/>
  <c r="H28" i="2"/>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BF20" i="11"/>
  <c r="AZ17" i="11"/>
  <c r="AA20" i="16"/>
  <c r="BU17" i="17"/>
  <c r="BV29" i="16"/>
  <c r="BW22" i="20"/>
  <c r="BW29" i="20"/>
  <c r="BU20" i="17"/>
  <c r="BV11" i="16"/>
  <c r="BU29" i="17"/>
  <c r="BV21" i="16"/>
  <c r="BW13" i="20"/>
  <c r="BV13" i="16"/>
  <c r="BV28" i="16"/>
  <c r="BU25" i="17"/>
  <c r="BG21" i="11"/>
  <c r="AP18" i="20"/>
  <c r="AP26" i="21"/>
  <c r="BG19" i="11"/>
  <c r="V20" i="11"/>
  <c r="AP16" i="20"/>
  <c r="BI19" i="11"/>
  <c r="BI25" i="11"/>
  <c r="BG22" i="11"/>
  <c r="Q18" i="20"/>
  <c r="Q23" i="20" s="1"/>
  <c r="V16" i="11"/>
  <c r="Z14"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BJ16" i="11"/>
  <c r="V9" i="11"/>
  <c r="BM12" i="11"/>
  <c r="V11" i="11"/>
  <c r="BK29" i="11"/>
  <c r="BG20" i="11"/>
  <c r="BF28" i="11"/>
  <c r="BH16" i="16"/>
  <c r="BF13" i="11"/>
  <c r="BH9" i="16"/>
  <c r="AZ26"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AE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O32" i="20"/>
  <c r="U17" i="11"/>
  <c r="T32" i="21"/>
  <c r="F32" i="20"/>
  <c r="M32" i="20"/>
  <c r="P32" i="20"/>
  <c r="J32" i="20"/>
  <c r="AZ32" i="20"/>
  <c r="O10" i="11"/>
  <c r="AL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AW32" i="11"/>
  <c r="AV32" i="21"/>
  <c r="K32" i="20"/>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BK32" i="16"/>
  <c r="AP32" i="21"/>
  <c r="V32" i="17"/>
  <c r="N32" i="21"/>
  <c r="AL32" i="21"/>
  <c r="BN32" i="16"/>
  <c r="AZ32" i="16"/>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I32" i="17"/>
  <c r="M32" i="21"/>
  <c r="AT32" i="20"/>
  <c r="F32" i="11"/>
  <c r="BI32" i="16"/>
  <c r="O32" i="17"/>
  <c r="Y32" i="16"/>
  <c r="R32" i="16"/>
  <c r="E32" i="16"/>
  <c r="AI32" i="16"/>
  <c r="AD32" i="1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<sst xmlns="http://schemas.openxmlformats.org/spreadsheetml/2006/main" count="2682" uniqueCount="1193">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</sst>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jT1LmucY6X6x7FlB9v6Yoa9SCz9YTi6fYwywiGR17ahiLnczsfuf8/eQOkE3iBqSkJt1LDrzOM1J87vfabJKQ==" saltValue="qayGdS96SMXbWv80v/9X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12.549295774647888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150</v>
      </c>
      <c r="D17" s="239">
        <f>IF(ISNUMBER(IF(D_I="SI",Datos!I17,Datos!I17+Datos!AC17)),IF(D_I="SI",Datos!I17,Datos!I17+Datos!AC17)," - ")</f>
        <v>168</v>
      </c>
      <c r="E17" s="240">
        <f>IF(ISNUMBER(IF(D_I="SI",Datos!J17,Datos!J17+Datos!AD17)),IF(D_I="SI",Datos!J17,Datos!J17+Datos!AD17)," - ")</f>
        <v>374</v>
      </c>
      <c r="F17" s="240">
        <f>IF(ISNUMBER(IF(D_I="SI",Datos!K17,Datos!K17+Datos!AE17)),IF(D_I="SI",Datos!K17,Datos!K17+Datos!AE17)," - ")</f>
        <v>333</v>
      </c>
      <c r="G17" s="1390" t="str">
        <f>IF(Datos!E17&lt;&gt;"",Datos!E17,Datos!D17)</f>
        <v>04</v>
      </c>
      <c r="H17" s="241">
        <f>IF(ISNUMBER(IF(D_I="SI",Datos!L17,Datos!L17+Datos!AF17)),IF(D_I="SI",Datos!L17,Datos!L17+Datos!AF17)," - ")</f>
        <v>191</v>
      </c>
      <c r="I17" s="1400" t="str">
        <f>IF(ISNUMBER(Datos!AS17/Datos!BM17),Datos!AS17/Datos!BM17," - ")</f>
        <v xml:space="preserve"> - </v>
      </c>
      <c r="J17" s="1401">
        <f>IF(ISNUMBER(Datos!BY17/Datos!CN17),Datos!BY17/Datos!CN17," - ")</f>
        <v>0</v>
      </c>
      <c r="K17" s="244">
        <f t="shared" si="3"/>
        <v>0.27333333333333332</v>
      </c>
      <c r="L17" s="1402">
        <f>IF(ISNUMBER(NºAsuntos!I17/NºAsuntos!G17),(NºAsuntos!I17/NºAsuntos!G17)*11," - ")</f>
        <v>6.3093093093093087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20</v>
      </c>
      <c r="E18" s="240">
        <f>IF(ISNUMBER(IF(D_I="SI",Datos!J18,Datos!J18+Datos!AD18)),IF(D_I="SI",Datos!J18,Datos!J18+Datos!AD18)," - ")</f>
        <v>15</v>
      </c>
      <c r="F18" s="240">
        <f>IF(ISNUMBER(IF(D_I="SI",Datos!K18,Datos!K18+Datos!AE18)),IF(D_I="SI",Datos!K18,Datos!K18+Datos!AE18)," - ")</f>
        <v>15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5.8666666666666663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158</v>
      </c>
      <c r="D23" s="1407">
        <f>SUBTOTAL(9,D16:D22)</f>
        <v>188</v>
      </c>
      <c r="E23" s="1408">
        <f>SUBTOTAL(9,E16:E22)</f>
        <v>389</v>
      </c>
      <c r="F23" s="1408">
        <f>SUBTOTAL(9,F16:F22)</f>
        <v>348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v>
      </c>
      <c r="D31" s="1435">
        <f>SUBTOTAL(9,D9:D30)</f>
        <v>188</v>
      </c>
      <c r="E31" s="1436">
        <f>SUBTOTAL(9,E9:E30)</f>
        <v>390</v>
      </c>
      <c r="F31" s="1436">
        <f>SUBTOTAL(9,F9:F30)</f>
        <v>348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aMO9MBdzQCzlA/+B0iK44LoEC7Wk1NoVV3MsfXGADBlyt/fktkRf9sq/C5xDOjHwdAsm7QE80NW8ReSMvgetQ==" saltValue="PuoMMtG63G3/tIYpBzL/D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LjaO2cw9HqkZk3hHFnIdVSJsH1OoHjaNNjbX+PEtyKpdqgJszdD2taijSd/tGppytRPM2eImfAKJq/0uIyc7Q==" saltValue="EfioDseilY3WdNXJovF5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v>
      </c>
      <c r="J12" s="196">
        <v>373</v>
      </c>
      <c r="K12" s="196">
        <v>249</v>
      </c>
      <c r="L12" s="196">
        <v>306</v>
      </c>
      <c r="M12" s="196">
        <v>60</v>
      </c>
      <c r="N12" s="196">
        <v>109</v>
      </c>
      <c r="O12" s="194">
        <v>126</v>
      </c>
      <c r="P12" s="196">
        <v>39</v>
      </c>
      <c r="Q12" s="196">
        <v>175</v>
      </c>
      <c r="R12" s="196">
        <v>234</v>
      </c>
      <c r="S12" s="196">
        <v>160</v>
      </c>
      <c r="T12" s="196">
        <v>264</v>
      </c>
      <c r="U12" s="196">
        <v>223</v>
      </c>
      <c r="V12" s="196">
        <v>201</v>
      </c>
      <c r="W12" s="196">
        <v>81</v>
      </c>
      <c r="X12" s="202">
        <v>77</v>
      </c>
      <c r="Y12" s="204">
        <v>25</v>
      </c>
      <c r="Z12" s="194">
        <v>43</v>
      </c>
      <c r="AA12" s="194">
        <v>35</v>
      </c>
      <c r="AB12" s="194">
        <v>18</v>
      </c>
      <c r="AC12" s="196">
        <v>0</v>
      </c>
      <c r="AD12" s="196">
        <v>0</v>
      </c>
      <c r="AE12" s="196">
        <v>0</v>
      </c>
      <c r="AF12" s="202">
        <v>0</v>
      </c>
      <c r="AG12" s="215">
        <v>18</v>
      </c>
      <c r="AH12" s="196">
        <v>40</v>
      </c>
      <c r="AI12" s="196">
        <v>33</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178</v>
      </c>
      <c r="AZ12" s="137">
        <f t="shared" si="1"/>
        <v>304</v>
      </c>
      <c r="BA12" s="137">
        <f t="shared" si="1"/>
        <v>256</v>
      </c>
      <c r="BB12" s="137">
        <f t="shared" si="1"/>
        <v>226</v>
      </c>
      <c r="BC12" s="135">
        <f>IF(ISNUMBER(X12),X12," - ")</f>
        <v>77</v>
      </c>
      <c r="BD12" s="136">
        <f t="shared" si="2"/>
        <v>0.84210526315789469</v>
      </c>
      <c r="BE12" s="137">
        <f t="shared" si="3"/>
        <v>0.8828125</v>
      </c>
      <c r="BF12" s="137">
        <f t="shared" si="4"/>
        <v>0.30078125</v>
      </c>
      <c r="BG12" s="209">
        <f t="shared" si="5"/>
        <v>1.8828125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201</v>
      </c>
      <c r="J14" s="197">
        <f t="shared" si="7"/>
        <v>374</v>
      </c>
      <c r="K14" s="197">
        <f t="shared" si="7"/>
        <v>249</v>
      </c>
      <c r="L14" s="197">
        <f t="shared" si="7"/>
        <v>307</v>
      </c>
      <c r="M14" s="197">
        <f t="shared" si="7"/>
        <v>60</v>
      </c>
      <c r="N14" s="197">
        <f t="shared" si="7"/>
        <v>109</v>
      </c>
      <c r="O14" s="197">
        <f t="shared" si="7"/>
        <v>126</v>
      </c>
      <c r="P14" s="197">
        <f t="shared" si="7"/>
        <v>39</v>
      </c>
      <c r="Q14" s="197">
        <f t="shared" si="7"/>
        <v>175</v>
      </c>
      <c r="R14" s="197">
        <f t="shared" si="7"/>
        <v>234</v>
      </c>
      <c r="S14" s="197">
        <f t="shared" si="7"/>
        <v>161</v>
      </c>
      <c r="T14" s="197">
        <f t="shared" si="7"/>
        <v>264</v>
      </c>
      <c r="U14" s="197">
        <f t="shared" si="7"/>
        <v>224</v>
      </c>
      <c r="V14" s="197">
        <f t="shared" si="7"/>
        <v>201</v>
      </c>
      <c r="W14" s="197">
        <f t="shared" si="7"/>
        <v>82</v>
      </c>
      <c r="X14" s="197">
        <f t="shared" si="7"/>
        <v>77</v>
      </c>
      <c r="Y14" s="197">
        <f t="shared" si="7"/>
        <v>25</v>
      </c>
      <c r="Z14" s="197">
        <f t="shared" si="7"/>
        <v>43</v>
      </c>
      <c r="AA14" s="197">
        <f t="shared" si="7"/>
        <v>35</v>
      </c>
      <c r="AB14" s="197">
        <f t="shared" si="7"/>
        <v>18</v>
      </c>
      <c r="AC14" s="197">
        <f t="shared" si="7"/>
        <v>0</v>
      </c>
      <c r="AD14" s="197">
        <f t="shared" si="7"/>
        <v>0</v>
      </c>
      <c r="AE14" s="197">
        <f t="shared" si="7"/>
        <v>0</v>
      </c>
      <c r="AF14" s="197">
        <f>SUBTOTAL(9,AF9:AF13)</f>
        <v>0</v>
      </c>
      <c r="AG14" s="197">
        <f t="shared" ref="AG14:AT14" si="8">SUBTOTAL(9,AG8:AG13)</f>
        <v>18</v>
      </c>
      <c r="AH14" s="197">
        <f t="shared" si="8"/>
        <v>40</v>
      </c>
      <c r="AI14" s="197">
        <f t="shared" si="8"/>
        <v>33</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179</v>
      </c>
      <c r="AZ14" s="197">
        <f>SUBTOTAL(9,AZ8:AZ13)</f>
        <v>304</v>
      </c>
      <c r="BA14" s="197">
        <f>SUBTOTAL(9,BA8:BA13)</f>
        <v>257</v>
      </c>
      <c r="BB14" s="197">
        <f>SUBTOTAL(9,BB8:BB13)</f>
        <v>226</v>
      </c>
      <c r="BC14" s="197">
        <f>SUBTOTAL(9,BC8:BC13)</f>
        <v>78</v>
      </c>
      <c r="BD14" s="219">
        <f>IF(ISNUMBER(BA14/AZ14),BA14/AZ14," - ")</f>
        <v>0.84539473684210531</v>
      </c>
      <c r="BE14" s="220">
        <f>IF(ISNUMBER(BB14/BA14),BB14/BA14, " - ")</f>
        <v>0.87937743190661477</v>
      </c>
      <c r="BF14" s="220">
        <f>IF(ISNUMBER(BC14/BA14),BC14/BA14, " - ")</f>
        <v>0.30350194552529181</v>
      </c>
      <c r="BG14" s="221">
        <f>IF(ISNUMBER((AY14+AZ14)/BA14),(AY14+AZ14)/BA14," - ")</f>
        <v>1.8793774319066148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168</v>
      </c>
      <c r="J17" s="196">
        <v>374</v>
      </c>
      <c r="K17" s="196">
        <v>333</v>
      </c>
      <c r="L17" s="196">
        <v>191</v>
      </c>
      <c r="M17" s="196">
        <v>38</v>
      </c>
      <c r="N17" s="196">
        <v>225</v>
      </c>
      <c r="O17" s="194">
        <v>2</v>
      </c>
      <c r="P17" s="196">
        <v>12</v>
      </c>
      <c r="Q17" s="196">
        <v>10</v>
      </c>
      <c r="R17" s="196">
        <v>27</v>
      </c>
      <c r="S17" s="196">
        <v>160</v>
      </c>
      <c r="T17" s="196">
        <v>318</v>
      </c>
      <c r="U17" s="196">
        <v>310</v>
      </c>
      <c r="V17" s="196">
        <v>168</v>
      </c>
      <c r="W17" s="196">
        <v>37</v>
      </c>
      <c r="X17" s="202">
        <v>199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160</v>
      </c>
      <c r="AZ17" s="137">
        <f t="shared" si="10"/>
        <v>318</v>
      </c>
      <c r="BA17" s="137">
        <f t="shared" si="10"/>
        <v>310</v>
      </c>
      <c r="BB17" s="137">
        <f t="shared" si="10"/>
        <v>168</v>
      </c>
      <c r="BC17" s="135">
        <f>IF(ISNUMBER(W17),W17," - ")</f>
        <v>37</v>
      </c>
      <c r="BD17" s="136">
        <f t="shared" ref="BD17:BD22" si="12">IF(ISNUMBER(BA17/AZ17),BA17/AZ17," - ")</f>
        <v>0.97484276729559749</v>
      </c>
      <c r="BE17" s="137">
        <f t="shared" ref="BE17:BE22" si="13">IF(ISNUMBER(BB17/BA17),BB17/BA17, " - ")</f>
        <v>0.54193548387096779</v>
      </c>
      <c r="BF17" s="137">
        <f t="shared" ref="BF17:BF22" si="14">IF(ISNUMBER(BC17/BA17),BC17/BA17, " - ")</f>
        <v>0.11935483870967742</v>
      </c>
      <c r="BG17" s="209">
        <f t="shared" si="11"/>
        <v>1.5419354838709678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15</v>
      </c>
      <c r="K18" s="196">
        <v>15</v>
      </c>
      <c r="L18" s="196">
        <v>8</v>
      </c>
      <c r="M18" s="196">
        <v>1</v>
      </c>
      <c r="N18" s="196">
        <v>13</v>
      </c>
      <c r="O18" s="196">
        <v>0</v>
      </c>
      <c r="P18" s="196">
        <v>0</v>
      </c>
      <c r="Q18" s="196">
        <v>0</v>
      </c>
      <c r="R18" s="196">
        <v>0</v>
      </c>
      <c r="S18" s="196">
        <v>14</v>
      </c>
      <c r="T18" s="196">
        <v>26</v>
      </c>
      <c r="U18" s="196">
        <v>20</v>
      </c>
      <c r="V18" s="196">
        <v>20</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26</v>
      </c>
      <c r="BA18" s="139">
        <f t="shared" si="15"/>
        <v>20</v>
      </c>
      <c r="BB18" s="139">
        <f t="shared" si="15"/>
        <v>20</v>
      </c>
      <c r="BC18" s="135">
        <f>IF(ISNUMBER(W18),W18," - ")</f>
        <v>2</v>
      </c>
      <c r="BD18" s="136">
        <f>IF(ISNUMBER(BA18/AZ18),BA18/AZ18," - ")</f>
        <v>0.76923076923076927</v>
      </c>
      <c r="BE18" s="137">
        <f>IF(ISNUMBER(BB18/BA18),BB18/BA18, " - ")</f>
        <v>1</v>
      </c>
      <c r="BF18" s="137">
        <f>IF(ISNUMBER(BC18/BA18),BC18/BA18, " - ")</f>
        <v>0.1</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v>
      </c>
      <c r="J23" s="197">
        <f t="shared" si="21"/>
        <v>389</v>
      </c>
      <c r="K23" s="197">
        <f t="shared" si="21"/>
        <v>348</v>
      </c>
      <c r="L23" s="197">
        <f t="shared" si="21"/>
        <v>199</v>
      </c>
      <c r="M23" s="197">
        <f t="shared" si="21"/>
        <v>39</v>
      </c>
      <c r="N23" s="197">
        <f t="shared" si="21"/>
        <v>238</v>
      </c>
      <c r="O23" s="197">
        <f t="shared" si="21"/>
        <v>2</v>
      </c>
      <c r="P23" s="197">
        <f t="shared" si="21"/>
        <v>12</v>
      </c>
      <c r="Q23" s="197">
        <f t="shared" si="21"/>
        <v>10</v>
      </c>
      <c r="R23" s="197">
        <f t="shared" si="21"/>
        <v>27</v>
      </c>
      <c r="S23" s="197">
        <f t="shared" si="21"/>
        <v>174</v>
      </c>
      <c r="T23" s="197">
        <f t="shared" si="21"/>
        <v>344</v>
      </c>
      <c r="U23" s="197">
        <f t="shared" si="21"/>
        <v>330</v>
      </c>
      <c r="V23" s="197">
        <f t="shared" si="21"/>
        <v>188</v>
      </c>
      <c r="W23" s="197">
        <f t="shared" si="21"/>
        <v>39</v>
      </c>
      <c r="X23" s="197">
        <f t="shared" si="21"/>
        <v>224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174</v>
      </c>
      <c r="AZ23" s="197">
        <f>SUBTOTAL(9,AZ15:AZ22)</f>
        <v>344</v>
      </c>
      <c r="BA23" s="197">
        <f>SUBTOTAL(9,BA15:BA22)</f>
        <v>330</v>
      </c>
      <c r="BB23" s="197">
        <f>SUBTOTAL(9,BB15:BB22)</f>
        <v>188</v>
      </c>
      <c r="BC23" s="197">
        <f>SUBTOTAL(9,BC15:BC22)</f>
        <v>39</v>
      </c>
      <c r="BD23" s="219">
        <f>IF(ISNUMBER(BA23/AZ23),BA23/AZ23," - ")</f>
        <v>0.95930232558139539</v>
      </c>
      <c r="BE23" s="220">
        <f>IF(ISNUMBER(BB23/BA23),BB23/BA23, " - ")</f>
        <v>0.5696969696969697</v>
      </c>
      <c r="BF23" s="220">
        <f>IF(ISNUMBER(BC23/BA23),BC23/BA23, " - ")</f>
        <v>0.11818181818181818</v>
      </c>
      <c r="BG23" s="221">
        <f>IF(ISNUMBER((AY23+AZ23)/BA23),(AY23+AZ23)/BA23," - ")</f>
        <v>1.5696969696969696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389</v>
      </c>
      <c r="J31" s="144">
        <f t="shared" si="36"/>
        <v>763</v>
      </c>
      <c r="K31" s="144">
        <f t="shared" si="36"/>
        <v>597</v>
      </c>
      <c r="L31" s="144">
        <f t="shared" si="36"/>
        <v>506</v>
      </c>
      <c r="M31" s="144">
        <f t="shared" si="36"/>
        <v>99</v>
      </c>
      <c r="N31" s="144">
        <f t="shared" si="36"/>
        <v>347</v>
      </c>
      <c r="O31" s="144">
        <f t="shared" si="36"/>
        <v>128</v>
      </c>
      <c r="P31" s="144">
        <f t="shared" si="36"/>
        <v>51</v>
      </c>
      <c r="Q31" s="144">
        <f t="shared" si="36"/>
        <v>185</v>
      </c>
      <c r="R31" s="144">
        <f t="shared" si="36"/>
        <v>261</v>
      </c>
      <c r="S31" s="144">
        <f t="shared" si="36"/>
        <v>335</v>
      </c>
      <c r="T31" s="144">
        <f t="shared" si="36"/>
        <v>608</v>
      </c>
      <c r="U31" s="144">
        <f t="shared" si="36"/>
        <v>554</v>
      </c>
      <c r="V31" s="144">
        <f t="shared" si="36"/>
        <v>389</v>
      </c>
      <c r="W31" s="144">
        <f t="shared" si="36"/>
        <v>121</v>
      </c>
      <c r="X31" s="144">
        <f t="shared" si="36"/>
        <v>301</v>
      </c>
      <c r="Y31" s="144">
        <f t="shared" si="36"/>
        <v>25</v>
      </c>
      <c r="Z31" s="144">
        <f t="shared" si="36"/>
        <v>43</v>
      </c>
      <c r="AA31" s="144">
        <f t="shared" si="36"/>
        <v>35</v>
      </c>
      <c r="AB31" s="144">
        <f t="shared" si="36"/>
        <v>18</v>
      </c>
      <c r="AC31" s="144">
        <f t="shared" si="36"/>
        <v>0</v>
      </c>
      <c r="AD31" s="144">
        <f t="shared" si="36"/>
        <v>0</v>
      </c>
      <c r="AE31" s="144">
        <f t="shared" si="36"/>
        <v>0</v>
      </c>
      <c r="AF31" s="144">
        <f t="shared" si="36"/>
        <v>0</v>
      </c>
      <c r="AG31" s="144">
        <f t="shared" si="36"/>
        <v>18</v>
      </c>
      <c r="AH31" s="144">
        <f t="shared" si="36"/>
        <v>40</v>
      </c>
      <c r="AI31" s="144">
        <f t="shared" si="36"/>
        <v>33</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353</v>
      </c>
      <c r="AZ31" s="144">
        <f>SUBTOTAL(9,AZ9:AZ30)</f>
        <v>648</v>
      </c>
      <c r="BA31" s="144">
        <f>SUBTOTAL(9,BA9:BA30)</f>
        <v>587</v>
      </c>
      <c r="BB31" s="144">
        <f>SUBTOTAL(9,BB9:BB30)</f>
        <v>414</v>
      </c>
      <c r="BC31" s="145">
        <f>SUBTOTAL(9,BC9:BC30)</f>
        <v>117</v>
      </c>
      <c r="BD31" s="227">
        <f>IF(ISNUMBER(BA31/AZ31),BA31/AZ31," - ")</f>
        <v>0.90586419753086422</v>
      </c>
      <c r="BE31" s="224">
        <f>IF(ISNUMBER(BB31/BA31),BB31/BA31, " - ")</f>
        <v>0.70528109028960817</v>
      </c>
      <c r="BF31" s="224">
        <f>IF(ISNUMBER(BC31/BA31),BC31/BA31, " - ")</f>
        <v>0.19931856899488926</v>
      </c>
      <c r="BG31" s="145">
        <f>IF(ISNUMBER((AY31+AZ31)/BA31),(AY31+AZ31)/BA31," - ")</f>
        <v>1.7052810902896083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7sMQ9oEyhwSPgqVUOvCEd7PJqOmRVOsO3LY60VZOW0XWWmtntejsH9n1Cfj+RVuha794eGc/CPSA6mAp2Wow==" saltValue="PYYzQbmVKq25SPtOx7VuQ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2uYfs7uED3LAJW+vEyjXlsbSja7uYc70bX1Xel0Tu8D1G35BpBIIB1wWj3WGtWwJdKgA8bQ7NIu9+yDvTi+Q==" saltValue="XTX5rCEwIAJGF0FOcye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PIEDRAHITA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109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0.68269230769230771</v>
      </c>
      <c r="BH12" s="764">
        <f>IF(ISNUMBER(((IF(J_V="SI",Datos!L12/Datos!K12,(Datos!L12+Datos!AB12)/(Datos!K12+Datos!AA12)))*11)/factor_trimestre),((IF(J_V="SI",Datos!L12/Datos!K12,(Datos!L12+Datos!AB12)/(Datos!K12+Datos!AA12)))*11)/factor_trimestre," - ")</f>
        <v>12.549295774647888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-0.36756756756756759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175</v>
      </c>
      <c r="AD14" s="1198">
        <f t="shared" si="2"/>
        <v>0</v>
      </c>
      <c r="AE14" s="1198">
        <f t="shared" si="2"/>
        <v>0</v>
      </c>
      <c r="AF14" s="1198">
        <f t="shared" si="2"/>
        <v>1</v>
      </c>
      <c r="AG14" s="1198">
        <f t="shared" si="2"/>
        <v>0</v>
      </c>
      <c r="AH14" s="1198">
        <f t="shared" si="2"/>
        <v>18</v>
      </c>
      <c r="AI14" s="1198">
        <f t="shared" si="2"/>
        <v>0</v>
      </c>
      <c r="AJ14" s="1198">
        <f t="shared" si="2"/>
        <v>0</v>
      </c>
      <c r="AK14" s="1198">
        <f t="shared" si="2"/>
        <v>0</v>
      </c>
      <c r="AL14" s="1198">
        <f t="shared" si="2"/>
        <v>0</v>
      </c>
      <c r="AM14" s="1198">
        <f t="shared" si="2"/>
        <v>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109</v>
      </c>
      <c r="BE14" s="1198">
        <f t="shared" si="2"/>
        <v>0</v>
      </c>
      <c r="BF14" s="1198">
        <f t="shared" si="2"/>
        <v>0</v>
      </c>
      <c r="BG14" s="1198">
        <f>IF(ISNUMBER(Datos!K14/Datos!J14),Datos!K14/Datos!J14," - ")</f>
        <v>0.66577540106951871</v>
      </c>
      <c r="BH14" s="1202">
        <f>IF(ISNUMBER(((Datos!L14/Datos!K14)*11)/factor_trimestre),((Datos!L14/Datos!K14)*11)/factor_trimestre," - ")</f>
        <v>13.562248995983936</v>
      </c>
      <c r="BI14" s="1198">
        <f>IF(ISNUMBER('Resol  Asuntos'!D14/NºAsuntos!G14),'Resol  Asuntos'!D14/NºAsuntos!G14," - ")</f>
        <v>0.21126760563380281</v>
      </c>
      <c r="BJ14" s="1198" t="str">
        <f>IF(ISNUMBER(Datos!CI14/Datos!CJ14),Datos!CI14/Datos!CJ14," - ")</f>
        <v xml:space="preserve"> - </v>
      </c>
      <c r="BK14" s="1198">
        <f>SUBTOTAL(9,BK8:BK13)</f>
        <v>0</v>
      </c>
      <c r="BL14" s="1198" t="str">
        <f>IF(ISNUMBER((I14-AB14+L14)/(F14)),(I14-AB14+L14)/(F14)," - ")</f>
        <v xml:space="preserve"> - </v>
      </c>
      <c r="BM14" s="1203">
        <f>SUBTOTAL(9,BM9:BM13)</f>
        <v>-0.36756756756756759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150</v>
      </c>
      <c r="G17" s="743">
        <f>IF(ISNUMBER(IF(D_I="SI",Datos!I17,Datos!I17+Datos!AC17)),IF(D_I="SI",Datos!I17,Datos!I17+Datos!AC17)," - ")</f>
        <v>168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333</v>
      </c>
      <c r="AC17" s="240">
        <f>IF(ISNUMBER(Datos!Q17),Datos!Q17," - ")</f>
        <v>10</v>
      </c>
      <c r="AD17" s="374"/>
      <c r="AE17" s="562"/>
      <c r="AF17" s="741">
        <f>IF(ISNUMBER(IF(D_I="SI",Datos!L17,Datos!L17+Datos!AF17)),IF(D_I="SI",Datos!L17,Datos!L17+Datos!AF17)," - ")</f>
        <v>191</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225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0.89037433155080214</v>
      </c>
      <c r="BH17" s="764">
        <f>IF(ISNUMBER(((IF(D_I="SI",Datos!L17/Datos!K17,(Datos!L17+Datos!AF17)/(Datos!K17+Datos!AE17)))*11)/factor_trimestre),((IF(D_I="SI",Datos!L17/Datos!K17,(Datos!L17+Datos!AF17)/(Datos!K17+Datos!AE17)))*11)/factor_trimestre," - ")</f>
        <v>6.3093093093093087</v>
      </c>
      <c r="BI17" s="266">
        <f>IF(ISNUMBER('Resol  Asuntos'!D17/NºAsuntos!G17),'Resol  Asuntos'!D17/NºAsuntos!G17," - ")</f>
        <v>0.11411411411411411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5.8666666666666663</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150</v>
      </c>
      <c r="G23" s="1197">
        <f>SUBTOTAL(9,G16:G22)</f>
        <v>188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348</v>
      </c>
      <c r="AC23" s="1198">
        <f t="shared" si="5"/>
        <v>10</v>
      </c>
      <c r="AD23" s="1198">
        <f t="shared" si="5"/>
        <v>0</v>
      </c>
      <c r="AE23" s="1198">
        <f t="shared" si="5"/>
        <v>0</v>
      </c>
      <c r="AF23" s="1198">
        <f t="shared" si="5"/>
        <v>199</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238</v>
      </c>
      <c r="BE23" s="1198">
        <f t="shared" si="5"/>
        <v>0</v>
      </c>
      <c r="BF23" s="1198">
        <f t="shared" si="5"/>
        <v>0</v>
      </c>
      <c r="BG23" s="1198">
        <f>IF(ISNUMBER(Datos!K23/Datos!J23),Datos!K23/Datos!J23," - ")</f>
        <v>0.8946015424164524</v>
      </c>
      <c r="BH23" s="1202">
        <f>IF(ISNUMBER(((Datos!L23/Datos!K23)*11)/factor_trimestre),((Datos!L23/Datos!K23)*11)/factor_trimestre," - ")</f>
        <v>6.2902298850574718</v>
      </c>
      <c r="BI23" s="1198">
        <f>SUBTOTAL(9,BI16:BI22)</f>
        <v>0.18078078078078078</v>
      </c>
      <c r="BJ23" s="1198">
        <f>SUBTOTAL(9,BJ16:BJ22)</f>
        <v>0</v>
      </c>
      <c r="BK23" s="1198">
        <f>SUBTOTAL(9,BK16:BK22)</f>
        <v>0</v>
      </c>
      <c r="BL23" s="1198">
        <f>IF(ISNUMBER((I23-AB23+L23)/(F23)),(I23-AB23+L23)/(F23)," - ")</f>
        <v>-2.3199999999999998</v>
      </c>
      <c r="BM23" s="1205">
        <f>IF(ISNUMBER((Datos!P23-Datos!Q23)/(Datos!R23-Datos!P23+Datos!Q23)),(Datos!P23-Datos!Q23)/(Datos!R23-Datos!P23+Datos!Q23)," - ")</f>
        <v>0.08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150</v>
      </c>
      <c r="G31" s="1117">
        <f t="shared" si="18"/>
        <v>188</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v>
      </c>
      <c r="AC31" s="1118">
        <f t="shared" si="19"/>
        <v>185</v>
      </c>
      <c r="AD31" s="1118">
        <f t="shared" si="19"/>
        <v>0</v>
      </c>
      <c r="AE31" s="1118">
        <f t="shared" si="19"/>
        <v>0</v>
      </c>
      <c r="AF31" s="1125">
        <f t="shared" si="19"/>
        <v>200</v>
      </c>
      <c r="AG31" s="1125">
        <f t="shared" si="19"/>
        <v>0</v>
      </c>
      <c r="AH31" s="1125">
        <f t="shared" si="19"/>
        <v>18</v>
      </c>
      <c r="AI31" s="1125">
        <f t="shared" si="19"/>
        <v>0</v>
      </c>
      <c r="AJ31" s="1118">
        <f t="shared" si="19"/>
        <v>0</v>
      </c>
      <c r="AK31" s="1125">
        <f t="shared" si="19"/>
        <v>0</v>
      </c>
      <c r="AL31" s="1125">
        <f t="shared" si="19"/>
        <v>0</v>
      </c>
      <c r="AM31" s="1125">
        <f t="shared" si="19"/>
        <v>261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347</v>
      </c>
      <c r="BE31" s="1117">
        <f t="shared" si="19"/>
        <v>0</v>
      </c>
      <c r="BF31" s="1127">
        <f t="shared" si="19"/>
        <v>0</v>
      </c>
      <c r="BG31" s="1223">
        <f>IF(ISNUMBER(Datos!K31/Datos!J31),Datos!K31/Datos!J31," - ")</f>
        <v>0.78243774574049807</v>
      </c>
      <c r="BH31" s="1223">
        <f>IF(ISNUMBER(((Datos!L31/Datos!K31)*11)/factor_trimestre),((Datos!L31/Datos!K31)*11)/factor_trimestre," - ")</f>
        <v>9.3232830820770509</v>
      </c>
      <c r="BI31" s="1103">
        <f>IF(ISNUMBER(Datos!J31/Datos!I31),Datos!J31/Datos!I31," - ")</f>
        <v>1.961439588688946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-2.3199999999999998</v>
      </c>
      <c r="BM31" s="1188">
        <f>IF(ISNUMBER((Datos!P31-Datos!Q31+R31)/(Datos!R31-Datos!P31+Datos!Q31-R31)),(Datos!P31-Datos!Q31+R31)/(Datos!R31-Datos!P31+Datos!Q31-R31)," - ")</f>
        <v>-0.3392405063291139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77.459666924148337</v>
      </c>
      <c r="G33" s="674">
        <f>IF(ISNUMBER(STDEV(G8:G30)),STDEV(G8:G30),"-")</f>
        <v>85.412165967373141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164.83108236702722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27.426525221294177</v>
      </c>
      <c r="BD33" s="673"/>
      <c r="BE33" s="673">
        <f>IF(ISNUMBER(STDEV(BE8:BE30)),STDEV(BE8:BE30),"-")</f>
        <v>0</v>
      </c>
      <c r="BF33" s="678">
        <f>IF(ISNUMBER(STDEV(BF8:BF30)),STDEV(BF8:BF30),"-")</f>
        <v>0</v>
      </c>
      <c r="BG33" s="1052">
        <f>IF(ISNUMBER(STDEV(BG8:BG30)),STDEV(BG8:BG30),"-")</f>
        <v>0.36189632024359047</v>
      </c>
      <c r="BH33" s="1058">
        <f>IF(ISNUMBER(STDEV(BH8:BH30)),STDEV(BH8:BH30),"-")</f>
        <v>3.8005396241211913</v>
      </c>
      <c r="BI33" s="273">
        <f>IF(ISNUMBER(STDEV(BI8:BI30)),STDEV(BI8:BI30),"-")</f>
        <v>6.5189093354150837E-2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FO/lPzIC9/vIDIXBbyOz/xcoUyt1BkYiis6sve43bY0xLfQxB50co4n/+r3oraFh/9Hq9nqPQ9trqMnDOmxiA==" saltValue="6G3xLHAOITjrO3NfDMHR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PIEDRAHITA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175</v>
      </c>
      <c r="AA12" s="551" t="str">
        <f>IF(ISNUMBER(IF(J_V="SI",Datos!L12,Datos!L12+Datos!AB12)-IF(Monitorios="SI",Datos!CD12,0)),
                          IF(J_V="SI",Datos!L12,Datos!L12+Datos!AB12)-IF(Monitorios="SI",Datos!CD12,0),
                          " - ")</f>
        <v xml:space="preserve"> - </v>
      </c>
      <c r="AB12" s="549"/>
      <c r="AC12" s="549"/>
      <c r="AD12" s="563"/>
      <c r="AE12" s="563">
        <f>IF(ISNUMBER(Datos!R12),Datos!R12," - ")</f>
        <v>234</v>
      </c>
      <c r="AF12" s="693" t="str">
        <f>IF(ISNUMBER(Datos!BV12),Datos!BV12," - ")</f>
        <v xml:space="preserve"> - </v>
      </c>
      <c r="AG12" s="552" t="str">
        <f>IF(ISNUMBER(Datos!DV12),Datos!DV12," - ")</f>
        <v xml:space="preserve"> - </v>
      </c>
      <c r="AH12" s="553"/>
      <c r="AI12" s="554"/>
      <c r="AJ12" s="552">
        <f>IF(ISNUMBER(Datos!M12),Datos!M12," - ")</f>
        <v>60</v>
      </c>
      <c r="AK12" s="693">
        <f>IF(ISNUMBER(Datos!N12),Datos!N12," - ")</f>
        <v>109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12.549295774647888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-0.36756756756756759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175</v>
      </c>
      <c r="AA14" s="1199">
        <f t="shared" si="3"/>
        <v>1</v>
      </c>
      <c r="AB14" s="1199">
        <f t="shared" si="3"/>
        <v>0</v>
      </c>
      <c r="AC14" s="1199">
        <f t="shared" si="3"/>
        <v>0</v>
      </c>
      <c r="AD14" s="1199">
        <f t="shared" si="3"/>
        <v>0</v>
      </c>
      <c r="AE14" s="1199">
        <f t="shared" si="3"/>
        <v>234</v>
      </c>
      <c r="AF14" s="1211">
        <f t="shared" si="3"/>
        <v>0</v>
      </c>
      <c r="AG14" s="1211">
        <f t="shared" si="3"/>
        <v>0</v>
      </c>
      <c r="AH14" s="1211">
        <f t="shared" si="3"/>
        <v>0</v>
      </c>
      <c r="AI14" s="1211">
        <f t="shared" si="3"/>
        <v>0</v>
      </c>
      <c r="AJ14" s="1211">
        <f t="shared" si="3"/>
        <v>60</v>
      </c>
      <c r="AK14" s="1211">
        <f t="shared" si="3"/>
        <v>109</v>
      </c>
      <c r="AL14" s="1211">
        <f t="shared" si="3"/>
        <v>0</v>
      </c>
      <c r="AM14" s="1211">
        <f t="shared" si="3"/>
        <v>0</v>
      </c>
      <c r="AN14" s="1211">
        <f t="shared" si="3"/>
        <v>0</v>
      </c>
      <c r="AO14" s="1203">
        <f>IF(ISNUMBER(((NºAsuntos!I14/NºAsuntos!G14)*11)/factor_trimestre),((NºAsuntos!I14/NºAsuntos!G14)*11)/factor_trimestre," - ")</f>
        <v>12.588028169014084</v>
      </c>
      <c r="AP14" s="1213" t="str">
        <f>IF(ISNUMBER(Datos!CI14/Datos!CJ14),Datos!CI14/Datos!CJ14," - ")</f>
        <v xml:space="preserve"> - </v>
      </c>
      <c r="AQ14" s="1236">
        <f t="shared" ref="AQ14:AV14" si="4">SUBTOTAL(9,AQ9:AQ13)</f>
        <v>0</v>
      </c>
      <c r="AR14" s="1236">
        <f t="shared" si="4"/>
        <v>-0.36756756756756759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150</v>
      </c>
      <c r="G17" s="552">
        <f>IF(ISNUMBER(IF(D_I="SI",Datos!I17,Datos!I17+Datos!AC17)),IF(D_I="SI",Datos!I17,Datos!I17+Datos!AC17)," - ")</f>
        <v>168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333</v>
      </c>
      <c r="Z17" s="805">
        <f>IF(ISNUMBER(Datos!Q17),Datos!Q17," - ")</f>
        <v>10</v>
      </c>
      <c r="AA17" s="551">
        <f>IF(ISNUMBER(IF(D_I="SI",Datos!L17,Datos!L17+Datos!AF17)),IF(D_I="SI",Datos!L17,Datos!L17+Datos!AF17)," - ")</f>
        <v>191</v>
      </c>
      <c r="AB17" s="549"/>
      <c r="AC17" s="549"/>
      <c r="AD17" s="563"/>
      <c r="AE17" s="563">
        <f>IF(ISNUMBER(Datos!R17),Datos!R17," - ")</f>
        <v>27</v>
      </c>
      <c r="AF17" s="693" t="str">
        <f>IF(ISNUMBER(Datos!BV17),Datos!BV17," - ")</f>
        <v xml:space="preserve"> - </v>
      </c>
      <c r="AG17" s="552"/>
      <c r="AH17" s="553"/>
      <c r="AI17" s="554"/>
      <c r="AJ17" s="552">
        <f>IF(ISNUMBER(Datos!M17),Datos!M17," - ")</f>
        <v>38</v>
      </c>
      <c r="AK17" s="693">
        <f>IF(ISNUMBER(Datos!N17),Datos!N17," - ")</f>
        <v>225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6.3093093093093087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5.8666666666666663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150</v>
      </c>
      <c r="G23" s="1197">
        <f>SUBTOTAL(9,G16:G22)</f>
        <v>188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348</v>
      </c>
      <c r="Z23" s="1240">
        <f t="shared" si="6"/>
        <v>10</v>
      </c>
      <c r="AA23" s="1240">
        <f t="shared" si="6"/>
        <v>199</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39</v>
      </c>
      <c r="AK23" s="1240">
        <f t="shared" si="6"/>
        <v>238</v>
      </c>
      <c r="AL23" s="1240">
        <f t="shared" si="6"/>
        <v>0</v>
      </c>
      <c r="AM23" s="1240">
        <f t="shared" si="6"/>
        <v>0</v>
      </c>
      <c r="AN23" s="1240">
        <f t="shared" si="6"/>
        <v>0</v>
      </c>
      <c r="AO23" s="1242">
        <f>IF(ISNUMBER(((NºAsuntos!I23/NºAsuntos!G23)*11)/factor_trimestre),((NºAsuntos!I23/NºAsuntos!G23)*11)/factor_trimestre," - ")</f>
        <v>6.2902298850574718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150</v>
      </c>
      <c r="G31" s="1117">
        <f t="shared" si="12"/>
        <v>188</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v>
      </c>
      <c r="Z31" s="1124">
        <f t="shared" si="13"/>
        <v>185</v>
      </c>
      <c r="AA31" s="1125">
        <f t="shared" si="13"/>
        <v>200</v>
      </c>
      <c r="AB31" s="1125">
        <f t="shared" si="13"/>
        <v>0</v>
      </c>
      <c r="AC31" s="1125">
        <f t="shared" si="13"/>
        <v>0</v>
      </c>
      <c r="AD31" s="1126">
        <f t="shared" si="13"/>
        <v>0</v>
      </c>
      <c r="AE31" s="1126">
        <f t="shared" si="13"/>
        <v>261</v>
      </c>
      <c r="AF31" s="1127">
        <f t="shared" si="13"/>
        <v>0</v>
      </c>
      <c r="AG31" s="1128">
        <f t="shared" si="13"/>
        <v>0</v>
      </c>
      <c r="AH31" s="1129">
        <f t="shared" si="13"/>
        <v>0</v>
      </c>
      <c r="AI31" s="1127">
        <f t="shared" si="13"/>
        <v>0</v>
      </c>
      <c r="AJ31" s="1117">
        <f t="shared" si="13"/>
        <v>99</v>
      </c>
      <c r="AK31" s="1117">
        <f t="shared" si="13"/>
        <v>347</v>
      </c>
      <c r="AL31" s="1117">
        <f t="shared" si="13"/>
        <v>0</v>
      </c>
      <c r="AM31" s="1130">
        <f t="shared" si="13"/>
        <v>0</v>
      </c>
      <c r="AN31" s="1120">
        <f>IF(ISNUMBER(Datos!K31/Datos!J31),Datos!K31/Datos!J31," - ")</f>
        <v>0.78243774574049807</v>
      </c>
      <c r="AO31" s="1120">
        <f>IF(ISNUMBER(FIND("06",Criterios!A8,1)),(IF(ISNUMBER(((Datos!R31/Datos!Q31)*11)/factor_trimestre),((Datos!R31/Datos!Q31)*11)/factor_trimestre," - ")),(IF(ISNUMBER(((Datos!L31/Datos!K31)*11)/factor_trimestre),((Datos!L31/Datos!K31)*11)/factor_trimestre," - ")))</f>
        <v>9.3232830820770509</v>
      </c>
      <c r="AP31" s="1131" t="str">
        <f>IF(ISNUMBER(Datos!CI31/Datos!CJ31),Datos!CI31/Datos!CJ31," - ")</f>
        <v xml:space="preserve"> - </v>
      </c>
      <c r="AQ31" s="1131">
        <f>IF(OR(ISNUMBER(FIND("01",Criterios!A8,1)),ISNUMBER(FIND("02",Criterios!A8,1)),ISNUMBER(FIND("03",Criterios!A8,1)),ISNUMBER(FIND("04",Criterios!A8,1))),(J31-Y31+K31)/(F31-K31),(I31-Y31+K31)/(F31-K31))</f>
        <v>-2.3199999999999998</v>
      </c>
      <c r="AR31" s="1131">
        <f>IF(ISNUMBER((Datos!P31-Datos!Q31+O31)/(Datos!R31-Datos!P31+Datos!Q31-O31)),(Datos!P31-Datos!Q31+O31)/(Datos!R31-Datos!P31+Datos!Q31-O31)," - ")</f>
        <v>-0.3392405063291139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77.459666924148337</v>
      </c>
      <c r="G33" s="674">
        <f>IF(ISNUMBER(STDEV(G8:G30)),STDEV(G8:G30),"-")</f>
        <v>85.412165967373141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27.426525221294177</v>
      </c>
      <c r="AK33" s="276"/>
      <c r="AL33" s="276">
        <f>IF(ISNUMBER(STDEV(AL8:AL30)),STDEV(AL8:AL30),"-")</f>
        <v>0</v>
      </c>
      <c r="AM33" s="278">
        <f>IF(ISNUMBER(STDEV(AM8:AM30)),STDEV(AM8:AM30),"-")</f>
        <v>0</v>
      </c>
      <c r="AN33" s="660">
        <f>IF(ISNUMBER(STDEV(AN8:AN30)),STDEV(AN8:AN30),"-")</f>
        <v>0</v>
      </c>
      <c r="AO33" s="661">
        <f>IF(ISNUMBER(STDEV(AO8:AO30)),STDEV(AO8:AO30),"-")</f>
        <v>3.5171675067758734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ena9aMhEynQLOyaO4zqoiWWEDfuyAJOB853JG2o8cU5T4o53UPP3BinttZsXntZvJmkL7LLGxQMl2Jce8O5QA==" saltValue="nyeIPv4BMFFNMd5iqg4H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SgpyfWsr/cj1f5tmOin2ulneeTqnNza2YEoNW1BG6sduEfgEBGxkevMfNcfAbCUprEeYJPnkJZdrzIILepZzA==" saltValue="2FEejWXTJ+U1gynXg+62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ckCwW837bbvxl/lqAHKu7v/ySwxugu1hpbtbrN4DJOkFGkfzBxCP8i0TOwUqVL7PO1hVtx000tY+khm1t/3ow==" saltValue="EmBbxery9ghCe1p1kPrH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PIEDRAHITA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0.21126760563380281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0.14938875658870723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Ele+nfsNZA/Ak/5MnO3d+1OLoONR/ktLS1XaCwJHtXqUEATpZygCWTbIhHaPzWtr6cJ00aamDC79GBHfMAPVg==" saltValue="tZLWV+/Jfjxi0IN0Cwoo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mJioRETRBGFCA4EE2EOi4JZbjZXvB2QJKXgGvVWmS9v56i3HzGeYvwnCcRgS/0SQXEIhBVl9/5zOE8RaTzkmg==" saltValue="MF0IIIORhjLPvTf2TJmd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PIEDRAHITA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226</v>
      </c>
      <c r="D12" s="452">
        <f>IF(ISNUMBER(C12/Datos!BH12),C12/Datos!BH12," - ")</f>
        <v>226</v>
      </c>
      <c r="E12" s="451">
        <f>IF(ISNUMBER(IF(J_V="SI",Datos!J12,Datos!J12+Datos!Z12)),IF(J_V="SI",Datos!J12,Datos!J12+Datos!Z12)," - ")</f>
        <v>416</v>
      </c>
      <c r="F12" s="452">
        <f>IF(ISNUMBER(E12/B12),E12/B12," - ")</f>
        <v>416</v>
      </c>
      <c r="G12" s="451">
        <f>IF(ISNUMBER(IF(J_V="SI",Datos!K12,Datos!K12+Datos!AA12)),IF(J_V="SI",Datos!K12,Datos!K12+Datos!AA12)," - ")</f>
        <v>284</v>
      </c>
      <c r="H12" s="452">
        <f>IF(ISNUMBER(G12/B12),G12/B12," - ")</f>
        <v>284</v>
      </c>
      <c r="I12" s="451">
        <f>IF(ISNUMBER(IF(J_V="SI",Datos!L12,Datos!L12+Datos!AB12)),IF(J_V="SI",Datos!L12,Datos!L12+Datos!AB12)," - ")</f>
        <v>324</v>
      </c>
      <c r="J12" s="452">
        <f>IF(ISNUMBER(I12/B12),I12/B12," - ")</f>
        <v>324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226</v>
      </c>
      <c r="D14" s="1147" t="str">
        <f>IF(ISNUMBER(C14/Datos!BI14),C14/Datos!BI14," - ")</f>
        <v xml:space="preserve"> - </v>
      </c>
      <c r="E14" s="1146">
        <f>SUBTOTAL(9,E8:E13)</f>
        <v>417</v>
      </c>
      <c r="F14" s="1147">
        <f>IF(ISNUMBER(E14/B14),E14/B14," - ")</f>
        <v>417</v>
      </c>
      <c r="G14" s="1146">
        <f>SUBTOTAL(9,G8:G13)</f>
        <v>284</v>
      </c>
      <c r="H14" s="1147">
        <f>IF(ISNUMBER(G14/B14),G14/B14," - ")</f>
        <v>284</v>
      </c>
      <c r="I14" s="1146">
        <f>SUBTOTAL(9,I8:I13)</f>
        <v>325</v>
      </c>
      <c r="J14" s="1147">
        <f>IF(ISNUMBER(I14/B14),I14/B14," - ")</f>
        <v>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168</v>
      </c>
      <c r="D17" s="452">
        <f>IF(ISNUMBER(C17/Datos!BH17),C17/Datos!BH17," - ")</f>
        <v>168</v>
      </c>
      <c r="E17" s="451">
        <f>IF(ISNUMBER(IF(D_I="SI",Datos!J17,Datos!J17+Datos!AD17)),IF(D_I="SI",Datos!J17,Datos!J17+Datos!AD17)," - ")</f>
        <v>374</v>
      </c>
      <c r="F17" s="452">
        <f>IF(ISNUMBER(E17/B17),E17/B17," - ")</f>
        <v>374</v>
      </c>
      <c r="G17" s="451">
        <f>IF(ISNUMBER(IF(D_I="SI",Datos!K17,Datos!K17+Datos!AE17)),IF(D_I="SI",Datos!K17,Datos!K17+Datos!AE17)," - ")</f>
        <v>333</v>
      </c>
      <c r="H17" s="452">
        <f>IF(ISNUMBER(G17/B17),G17/B17," - ")</f>
        <v>333</v>
      </c>
      <c r="I17" s="451">
        <f>IF(ISNUMBER(IF(D_I="SI",Datos!L17,Datos!L17+Datos!AF17)),IF(D_I="SI",Datos!L17,Datos!L17+Datos!AF17)," - ")</f>
        <v>191</v>
      </c>
      <c r="J17" s="452">
        <f>IF(ISNUMBER(I17/B17),I17/B17," - ")</f>
        <v>191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15</v>
      </c>
      <c r="F18" s="452">
        <f>IF(ISNUMBER(E18/B18),E18/B18," - ")</f>
        <v>15</v>
      </c>
      <c r="G18" s="451">
        <f>IF(ISNUMBER(IF(D_I="SI",Datos!K18,Datos!K18+Datos!AE18)),IF(D_I="SI",Datos!K18,Datos!K18+Datos!AE18)," - ")</f>
        <v>15</v>
      </c>
      <c r="H18" s="452">
        <f>IF(ISNUMBER(G18/B18),G18/B18," - ")</f>
        <v>15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188</v>
      </c>
      <c r="D23" s="1147" t="str">
        <f>IF(ISNUMBER(C23/Datos!BI23),C23/Datos!BI23," - ")</f>
        <v xml:space="preserve"> - </v>
      </c>
      <c r="E23" s="1146">
        <f>SUBTOTAL(9,E15:E22)</f>
        <v>389</v>
      </c>
      <c r="F23" s="1147">
        <f>IF(ISNUMBER(E23/B23),E23/B23," - ")</f>
        <v>389</v>
      </c>
      <c r="G23" s="1146">
        <f>SUBTOTAL(9,G15:G22)</f>
        <v>348</v>
      </c>
      <c r="H23" s="1147">
        <f>IF(ISNUMBER(G23/B23),G23/B23," - ")</f>
        <v>348</v>
      </c>
      <c r="I23" s="1146">
        <f>SUBTOTAL(9,I15:I22)</f>
        <v>199</v>
      </c>
      <c r="J23" s="1147">
        <f>IF(ISNUMBER(I23/B23),I23/B23," - ")</f>
        <v>199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414</v>
      </c>
      <c r="D31" s="1085" t="str">
        <f>IF(ISNUMBER(C31/Datos!BI31),C31/Datos!BI31," - ")</f>
        <v xml:space="preserve"> - </v>
      </c>
      <c r="E31" s="1084">
        <f>SUBTOTAL(9,E9:E30)</f>
        <v>806</v>
      </c>
      <c r="F31" s="1085">
        <f>IF(ISNUMBER(E31/B31),E31/B31," - ")</f>
        <v>806</v>
      </c>
      <c r="G31" s="1084">
        <f>SUBTOTAL(9,G9:G30)</f>
        <v>632</v>
      </c>
      <c r="H31" s="1085">
        <f>IF(ISNUMBER(G31/B31),G31/B31," - ")</f>
        <v>632</v>
      </c>
      <c r="I31" s="1084">
        <f>SUBTOTAL(9,I9:I30)</f>
        <v>524</v>
      </c>
      <c r="J31" s="1085">
        <f>IF(ISNUMBER(I31/B31),I31/B31," - ")</f>
        <v>524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UdPaNtEqJ/3ERw0tFktN5Qs7AhvcvLFIRCOjQEltoge+6hC8WDXkIOyuZS1yNtAXvjT6hBoMs+8WXro6cIGuQ==" saltValue="WMtOcjpO1akOkcatsIyJ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PIEDRAHITA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109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12.549295774647888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-0.36756756756756759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175</v>
      </c>
      <c r="AE14" s="1257">
        <f t="shared" si="1"/>
        <v>0</v>
      </c>
      <c r="AF14" s="1257">
        <f t="shared" si="1"/>
        <v>1</v>
      </c>
      <c r="AG14" s="1257">
        <f t="shared" si="1"/>
        <v>0</v>
      </c>
      <c r="AH14" s="1257">
        <f t="shared" si="1"/>
        <v>234</v>
      </c>
      <c r="AI14" s="1257">
        <f t="shared" si="1"/>
        <v>0</v>
      </c>
      <c r="AJ14" s="1257">
        <f t="shared" si="1"/>
        <v>0</v>
      </c>
      <c r="AK14" s="1257">
        <f t="shared" si="1"/>
        <v>0</v>
      </c>
      <c r="AL14" s="1257">
        <f t="shared" si="1"/>
        <v>60</v>
      </c>
      <c r="AM14" s="1257">
        <f t="shared" si="1"/>
        <v>109</v>
      </c>
      <c r="AN14" s="1257">
        <f t="shared" si="1"/>
        <v>0</v>
      </c>
      <c r="AO14" s="1257">
        <f t="shared" si="1"/>
        <v>0</v>
      </c>
      <c r="AP14" s="1262">
        <f>IF(ISNUMBER(((Datos!L14/Datos!K14)*11)/factor_trimestre),((Datos!L14/Datos!K14)*11)/factor_trimestre," - ")</f>
        <v>13.562248995983936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-0.36756756756756759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6.2902298850574718</v>
      </c>
      <c r="AQ23" s="1262">
        <f>IF(ISNUMBER(((Datos!M23/Datos!L23)*11)/factor_trimestre),((Datos!M23/Datos!L23)*11)/factor_trimestre," - ")</f>
        <v>2.1557788944723617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0.08</v>
      </c>
      <c r="AW23" s="1265">
        <f>IF(ISNUMBER((Datos!Q23-Datos!R23)/(Datos!S23-Datos!Q23+Datos!R23)),(Datos!Q23-Datos!R23)/(Datos!S23-Datos!Q23+Datos!R23)," - ")</f>
        <v>-8.9005235602094238E-2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175</v>
      </c>
      <c r="AE31" s="1284">
        <f t="shared" si="9"/>
        <v>0</v>
      </c>
      <c r="AF31" s="1285">
        <f t="shared" si="9"/>
        <v>1</v>
      </c>
      <c r="AG31" s="1285">
        <f t="shared" si="9"/>
        <v>0</v>
      </c>
      <c r="AH31" s="1285">
        <f t="shared" si="9"/>
        <v>234</v>
      </c>
      <c r="AI31" s="1285">
        <f t="shared" si="9"/>
        <v>0</v>
      </c>
      <c r="AJ31" s="1286">
        <f t="shared" si="9"/>
        <v>0</v>
      </c>
      <c r="AK31" s="1286">
        <f t="shared" si="9"/>
        <v>0</v>
      </c>
      <c r="AL31" s="1278">
        <f t="shared" si="9"/>
        <v>60</v>
      </c>
      <c r="AM31" s="1278">
        <f t="shared" si="9"/>
        <v>109</v>
      </c>
      <c r="AN31" s="1278">
        <f t="shared" si="9"/>
        <v>0</v>
      </c>
      <c r="AO31" s="1278">
        <f t="shared" si="9"/>
        <v>0</v>
      </c>
      <c r="AP31" s="1278">
        <f>IF(ISNUMBER(((Datos!L31/Datos!K31)*11)/factor_trimestre),((Datos!L31/Datos!K31)*11)/factor_trimestre," - ")</f>
        <v>9.3232830820770509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-0.3392405063291139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3.9387866572615371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742o5zWk6pnvH7NYO1FBijlfD8kWlLiCp5V7xhifb+4FfMFv4yvay/FZOCVQT6UcYgalE22hWyYh3D0a/x0PEA==" saltValue="eTGJ5kXlWM41dEw7FqbL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PIEDRAHITA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XOlWjWU0n7mW1ioul/ZL42iIPlODU97K5I9ynVEFj7TyDv9KmF3kRFKHINinDYUXZyfatq2hiKTV3C+jk00ww==" saltValue="xd4E6kWGocK0MdCV/f6l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PIEDRAHITA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60</v>
      </c>
      <c r="E12" s="452">
        <f t="shared" si="0"/>
        <v>60</v>
      </c>
      <c r="F12" s="451">
        <f>IF(ISNUMBER(Datos!N12),Datos!N12," - ")</f>
        <v>109</v>
      </c>
      <c r="G12" s="452">
        <f t="shared" si="1"/>
        <v>109</v>
      </c>
      <c r="H12" s="451">
        <f>IF(ISNUMBER(Datos!O12),Datos!O12," - ")</f>
        <v>126</v>
      </c>
      <c r="I12" s="452">
        <f t="shared" si="2"/>
        <v>126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60</v>
      </c>
      <c r="E14" s="1147">
        <f t="shared" si="0"/>
        <v>30</v>
      </c>
      <c r="F14" s="1146">
        <f>SUBTOTAL(9,F9:F13)</f>
        <v>109</v>
      </c>
      <c r="G14" s="1147">
        <f t="shared" si="1"/>
        <v>54.5</v>
      </c>
      <c r="H14" s="1146">
        <f>SUBTOTAL(9,H9:H13)</f>
        <v>126</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225</v>
      </c>
      <c r="G17" s="452">
        <f t="shared" si="4"/>
        <v>225</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39</v>
      </c>
      <c r="E23" s="1147">
        <f t="shared" si="3"/>
        <v>19.5</v>
      </c>
      <c r="F23" s="1146">
        <f>SUBTOTAL(9,F16:F22)</f>
        <v>238</v>
      </c>
      <c r="G23" s="1147">
        <f t="shared" si="4"/>
        <v>119</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99</v>
      </c>
      <c r="E31" s="1085">
        <f>IF(ISNUMBER(D31/B31),D31/B31," - ")</f>
        <v>99</v>
      </c>
      <c r="F31" s="1084">
        <f>SUBTOTAL(9,F8:F30)</f>
        <v>347</v>
      </c>
      <c r="G31" s="1085">
        <f>IF(ISNUMBER(F31/B31),F31/B31," - ")</f>
        <v>347</v>
      </c>
      <c r="H31" s="1084">
        <f>SUBTOTAL(9,H8:H30)</f>
        <v>128</v>
      </c>
      <c r="I31" s="1085">
        <f>IF(ISNUMBER(H31/B31),H31/B31," - ")</f>
        <v>128</v>
      </c>
    </row>
    <row r="34" spans="1:1">
      <c r="A34" s="439" t="str">
        <f>Criterios!A4</f>
        <v>Fecha Informe: 14 abr. 2023</v>
      </c>
    </row>
    <row r="39" spans="1:1">
      <c r="A39" s="462"/>
    </row>
  </sheetData>
  <sheetProtection algorithmName="SHA-512" hashValue="SfxCLlZ89kQxfPIgou7Te4iub3PmhG4UWz6ovCwQliAvYIajWKLTyMPAw98lGl7QbR6H/gfpjSb5ybd/SoSxbw==" saltValue="KDuSAvpTveDMdxpoUsth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PIEDRAHITA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175</v>
      </c>
      <c r="D12" s="456">
        <f>IF(ISNUMBER(Datos!R12),Datos!R12," - ")</f>
        <v>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175</v>
      </c>
      <c r="D14" s="1148">
        <f>SUBTOTAL(9,D9:D13)</f>
        <v>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185</v>
      </c>
      <c r="D31" s="1090">
        <f>SUBTOTAL(9,D8:D30)</f>
        <v>261</v>
      </c>
    </row>
    <row r="32" spans="1:4" ht="7.5" customHeight="1"/>
    <row r="33" spans="1:1" ht="6" customHeight="1"/>
    <row r="34" spans="1:1">
      <c r="A34" s="439" t="str">
        <f>Criterios!A4</f>
        <v>Fecha Informe: 14 abr. 2023</v>
      </c>
    </row>
    <row r="39" spans="1:1">
      <c r="A39" s="462"/>
    </row>
  </sheetData>
  <sheetProtection algorithmName="SHA-512" hashValue="/sTFrDJZtUJTB47HSZU4cNKL7kgWjhOHaAYj5ckQfYPptvZRYoTGtOowf4Ig0VtOoh7dmRXB6xKKFsXRussKJw==" saltValue="ZJQfWQER3HROa2q4kcm7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PIEDRAHITA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0.2696629213483146</v>
      </c>
      <c r="C12" s="515">
        <f>IF(ISNUMBER(
   IF(J_V="SI",(Datos!J12-Datos!T12)/Datos!T12,(Datos!J12+Datos!Z12-(Datos!T12+Datos!AH12))/(Datos!T12+Datos!AH12))
     ),IF(J_V="SI",(Datos!J12-Datos!T12)/Datos!T12,(Datos!J12+Datos!Z12-(Datos!T12+Datos!AH12))/(Datos!T12+Datos!AH12))," - ")</f>
        <v>0.36842105263157893</v>
      </c>
      <c r="D12" s="515">
        <f>IF(ISNUMBER(
   IF(J_V="SI",(Datos!K12-Datos!U12)/Datos!U12,(Datos!K12+Datos!AA12-(Datos!U12+Datos!AI12))/(Datos!U12+Datos!AI12))
     ),IF(J_V="SI",(Datos!K12-Datos!U12)/Datos!U12,(Datos!K12+Datos!AA12-(Datos!U12+Datos!AI12))/(Datos!U12+Datos!AI12))," - ")</f>
        <v>0.109375</v>
      </c>
      <c r="E12" s="515">
        <f>IF(ISNUMBER(
   IF(J_V="SI",(Datos!L12-Datos!V12)/Datos!V12,(Datos!L12+Datos!AB12-(Datos!V12+Datos!AJ12))/(Datos!V12+Datos!AJ12))
     ),IF(J_V="SI",(Datos!L12-Datos!V12)/Datos!V12,(Datos!L12+Datos!AB12-(Datos!V12+Datos!AJ12))/(Datos!V12+Datos!AJ12))," - ")</f>
        <v>0.4336283185840708</v>
      </c>
      <c r="F12" s="515">
        <f>IF(ISNUMBER((Datos!M12-Datos!W12)/Datos!W12),(Datos!M12-Datos!W12)/Datos!W12," - ")</f>
        <v>-0.25925925925925924</v>
      </c>
      <c r="G12" s="516">
        <f>IF(ISNUMBER((Datos!N12-Datos!X12)/Datos!X12),(Datos!N12-Datos!X12)/Datos!X12," - ")</f>
        <v>0.41558441558441561</v>
      </c>
      <c r="H12" s="514">
        <f>IF(ISNUMBER(((NºAsuntos!G12/NºAsuntos!E12)-Datos!BD12)/Datos!BD12),((NºAsuntos!G12/NºAsuntos!E12)-Datos!BD12)/Datos!BD12," - ")</f>
        <v>-0.18930288461538455</v>
      </c>
      <c r="I12" s="515">
        <f>IF(ISNUMBER(((NºAsuntos!I12/NºAsuntos!G12)-Datos!BE12)/Datos!BE12),((NºAsuntos!I12/NºAsuntos!G12)-Datos!BE12)/Datos!BE12," - ")</f>
        <v>0.29228468154057091</v>
      </c>
      <c r="J12" s="521">
        <f>IF(ISNUMBER((('Resol  Asuntos'!D12/NºAsuntos!G12)-Datos!BF12)/Datos!BF12),(('Resol  Asuntos'!D12/NºAsuntos!G12)-Datos!BF12)/Datos!BF12," - ")</f>
        <v>-0.29760380464605818</v>
      </c>
      <c r="K12" s="522">
        <f>IF(ISNUMBER((((NºAsuntos!C12+NºAsuntos!E12)/NºAsuntos!G12)-Datos!BG12)/Datos!BG12),(((NºAsuntos!C12+NºAsuntos!E12)/NºAsuntos!G12)-Datos!BG12)/Datos!BG12," - ")</f>
        <v>0.20063117292969429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0.26256983240223464</v>
      </c>
      <c r="C14" s="1152">
        <f>IF(ISNUMBER(
   IF(J_V="SI",(Datos!J14-Datos!T14)/Datos!T14,(Datos!J14+Datos!Z14-(Datos!T14+Datos!AH14))/(Datos!T14+Datos!AH14))
     ),IF(J_V="SI",(Datos!J14-Datos!T14)/Datos!T14,(Datos!J14+Datos!Z14-(Datos!T14+Datos!AH14))/(Datos!T14+Datos!AH14))," - ")</f>
        <v>0.37171052631578949</v>
      </c>
      <c r="D14" s="1152">
        <f>IF(ISNUMBER(
   IF(J_V="SI",(Datos!K14-Datos!U14)/Datos!U14,(Datos!K14+Datos!AA14-(Datos!U14+Datos!AI14))/(Datos!U14+Datos!AI14))
     ),IF(J_V="SI",(Datos!K14-Datos!U14)/Datos!U14,(Datos!K14+Datos!AA14-(Datos!U14+Datos!AI14))/(Datos!U14+Datos!AI14))," - ")</f>
        <v>0.10505836575875487</v>
      </c>
      <c r="E14" s="1152">
        <f>IF(ISNUMBER(
   IF(J_V="SI",(Datos!L14-Datos!V14)/Datos!V14,(Datos!L14+Datos!AB14-(Datos!V14+Datos!AJ14))/(Datos!V14+Datos!AJ14))
     ),IF(J_V="SI",(Datos!L14-Datos!V14)/Datos!V14,(Datos!L14+Datos!AB14-(Datos!V14+Datos!AJ14))/(Datos!V14+Datos!AJ14))," - ")</f>
        <v>0.43805309734513276</v>
      </c>
      <c r="F14" s="1153">
        <f>IF(ISNUMBER((Datos!M14-Datos!W14)/Datos!W14),(Datos!M14-Datos!W14)/Datos!W14," - ")</f>
        <v>-0.26829268292682928</v>
      </c>
      <c r="G14" s="1154">
        <f>IF(ISNUMBER((Datos!N14-Datos!X14)/Datos!X14),(Datos!N14-Datos!X14)/Datos!X14," - ")</f>
        <v>0.41558441558441561</v>
      </c>
      <c r="H14" s="1154">
        <f>IF(ISNUMBER(((NºAsuntos!G14/NºAsuntos!E14)-Datos!BD14)/Datos!BD14),((NºAsuntos!G14/NºAsuntos!E14)-Datos!BD14)/Datos!BD14," - ")</f>
        <v>-0.19439390122143538</v>
      </c>
      <c r="I14" s="1154">
        <f>IF(ISNUMBER(((NºAsuntos!I14/NºAsuntos!G14)-Datos!BE14)/Datos!BE14),((NºAsuntos!I14/NºAsuntos!G14)-Datos!BE14)/Datos!BE14," - ")</f>
        <v>0.30133678175246159</v>
      </c>
      <c r="J14" s="1154">
        <f>IF(ISNUMBER((('Resol  Asuntos'!D14/NºAsuntos!G14)-Datos!BF14)/Datos!BF14),(('Resol  Asuntos'!D14/NºAsuntos!G14)-Datos!BF14)/Datos!BF14," - ")</f>
        <v>-0.30390032502708553</v>
      </c>
      <c r="K14" s="1154">
        <f>IF(ISNUMBER((((NºAsuntos!C14+NºAsuntos!E14)/NºAsuntos!G14)-Datos!BG14)/Datos!BG14),(((NºAsuntos!C14+NºAsuntos!E14)/NºAsuntos!G14)-Datos!BG14)/Datos!BG14," - ")</f>
        <v>0.20469920975126119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0.05</v>
      </c>
      <c r="C17" s="515">
        <f>IF(ISNUMBER(
   IF(D_I="SI",(Datos!J17-Datos!T17)/Datos!T17,(Datos!J17+Datos!AD17-(Datos!T17+Datos!AL17))/(Datos!T17+Datos!AL17))
     ),IF(D_I="SI",(Datos!J17-Datos!T17)/Datos!T17,(Datos!J17+Datos!AD17-(Datos!T17+Datos!AL17))/(Datos!T17+Datos!AL17))," - ")</f>
        <v>0.1761006289308176</v>
      </c>
      <c r="D17" s="515">
        <f>IF(ISNUMBER(
   IF(D_I="SI",(Datos!K17-Datos!U17)/Datos!U17,(Datos!K17+Datos!AE17-(Datos!U17+Datos!AM17))/(Datos!U17+Datos!AM17))
     ),IF(D_I="SI",(Datos!K17-Datos!U17)/Datos!U17,(Datos!K17+Datos!AE17-(Datos!U17+Datos!AM17))/(Datos!U17+Datos!AM17))," - ")</f>
        <v>7.4193548387096769E-2</v>
      </c>
      <c r="E17" s="515">
        <f>IF(ISNUMBER(
   IF(D_I="SI",(Datos!L17-Datos!V17)/Datos!V17,(Datos!L17+Datos!AF17-(Datos!V17+Datos!AN17))/(Datos!V17+Datos!AN17))
     ),IF(D_I="SI",(Datos!L17-Datos!V17)/Datos!V17,(Datos!L17+Datos!AF17-(Datos!V17+Datos!AN17))/(Datos!V17+Datos!AN17))," - ")</f>
        <v>0.13690476190476192</v>
      </c>
      <c r="F17" s="515">
        <f>IF(ISNUMBER((Datos!M17-Datos!W17)/Datos!W17),(Datos!M17-Datos!W17)/Datos!W17," - ")</f>
        <v>2.7027027027027029E-2</v>
      </c>
      <c r="G17" s="516">
        <f>IF(ISNUMBER((Datos!N17-Datos!X17)/Datos!X17),(Datos!N17-Datos!X17)/Datos!X17," - ")</f>
        <v>0.1306532663316583</v>
      </c>
      <c r="H17" s="514">
        <f>IF(ISNUMBER(((NºAsuntos!G17/NºAsuntos!E17)-Datos!BD17)/Datos!BD17),((NºAsuntos!G17/NºAsuntos!E17)-Datos!BD17)/Datos!BD17," - ")</f>
        <v>-8.6648266344661037E-2</v>
      </c>
      <c r="I17" s="515">
        <f>IF(ISNUMBER(((NºAsuntos!I17/NºAsuntos!G17)-Datos!BE17)/Datos!BE17),((NºAsuntos!I17/NºAsuntos!G17)-Datos!BE17)/Datos!BE17," - ")</f>
        <v>5.837980837980819E-2</v>
      </c>
      <c r="J17" s="521">
        <f>IF(ISNUMBER((('Resol  Asuntos'!D17/NºAsuntos!G17)-Datos!BF17)/Datos!BF17),(('Resol  Asuntos'!D17/NºAsuntos!G17)-Datos!BF17)/Datos!BF17," - ")</f>
        <v>-4.3908773638503401E-2</v>
      </c>
      <c r="K17" s="522">
        <f>IF(ISNUMBER((((NºAsuntos!C17+NºAsuntos!E17)/NºAsuntos!G17)-Datos!BG17)/Datos!BG17),(((NºAsuntos!C17+NºAsuntos!E17)/NºAsuntos!G17)-Datos!BG17)/Datos!BG17," - ")</f>
        <v>5.5574402854737519E-2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-0.42307692307692307</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-0.5</v>
      </c>
      <c r="G18" s="516">
        <f>IF(ISNUMBER((Datos!N18-Datos!X18)/Datos!X18),(Datos!N18-Datos!X18)/Datos!X18," - ")</f>
        <v>-0.48</v>
      </c>
      <c r="H18" s="514">
        <f>IF(ISNUMBER(((NºAsuntos!G18/NºAsuntos!E18)-Datos!BD18)/Datos!BD18),((NºAsuntos!G18/NºAsuntos!E18)-Datos!BD18)/Datos!BD18," - ")</f>
        <v>0.29999999999999993</v>
      </c>
      <c r="I18" s="515">
        <f>IF(ISNUMBER(((NºAsuntos!I18/NºAsuntos!G18)-Datos!BE18)/Datos!BE18),((NºAsuntos!I18/NºAsuntos!G18)-Datos!BE18)/Datos!BE18," - ")</f>
        <v>-0.46666666666666667</v>
      </c>
      <c r="J18" s="521">
        <f>IF(ISNUMBER((('Resol  Asuntos'!D18/NºAsuntos!G18)-Datos!BF18)/Datos!BF18),(('Resol  Asuntos'!D18/NºAsuntos!G18)-Datos!BF18)/Datos!BF18," - ")</f>
        <v>-0.33333333333333337</v>
      </c>
      <c r="K18" s="522">
        <f>IF(ISNUMBER((((NºAsuntos!C18+NºAsuntos!E18)/NºAsuntos!G18)-Datos!BG18)/Datos!BG18),(((NºAsuntos!C18+NºAsuntos!E18)/NºAsuntos!G18)-Datos!BG18)/Datos!BG18," - ")</f>
        <v>0.16666666666666674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8.0459770114942528E-2</v>
      </c>
      <c r="C23" s="1152">
        <f>IF(ISNUMBER(
   IF(Criterios!B14="SI",(Datos!J23-Datos!T23)/Datos!T23,(Datos!J23+Datos!AD23-(Datos!T23+Datos!AL23))/(Datos!T23+Datos!AL23))
     ),IF(Criterios!B14="SI",(Datos!J23-Datos!T23)/Datos!T23,(Datos!J23+Datos!AD23-(Datos!T23+Datos!AL23))/(Datos!T23+Datos!AL23))," - ")</f>
        <v>0.1308139534883721</v>
      </c>
      <c r="D23" s="1152">
        <f>IF(ISNUMBER(
   IF(Criterios!B14="SI",(Datos!K23-Datos!U23)/Datos!U23,(Datos!K23+Datos!AE23-(Datos!U23+Datos!AM23))/(Datos!U23+Datos!AM23))
     ),IF(Criterios!B14="SI",(Datos!K23-Datos!U23)/Datos!U23,(Datos!K23+Datos!AE23-(Datos!U23+Datos!AM23))/(Datos!U23+Datos!AM23))," - ")</f>
        <v>5.4545454545454543E-2</v>
      </c>
      <c r="E23" s="1152">
        <f>IF(ISNUMBER(
   IF(Criterios!B14="SI",(Datos!L23-Datos!V23)/Datos!V23,(Datos!L23+Datos!AF23-(Datos!V23+Datos!AN23))/(Datos!V23+Datos!AN23))
     ),IF(Criterios!B14="SI",(Datos!L23-Datos!V23)/Datos!V23,(Datos!L23+Datos!AF23-(Datos!V23+Datos!AN23))/(Datos!V23+Datos!AN23))," - ")</f>
        <v>5.8510638297872342E-2</v>
      </c>
      <c r="F23" s="1153">
        <f>IF(ISNUMBER((Datos!M23-Datos!W23)/Datos!W23),(Datos!M23-Datos!W23)/Datos!W23," - ")</f>
        <v>0</v>
      </c>
      <c r="G23" s="1154">
        <f>IF(ISNUMBER((Datos!N23-Datos!X23)/Datos!X23),(Datos!N23-Datos!X23)/Datos!X23," - ")</f>
        <v>6.25E-2</v>
      </c>
      <c r="H23" s="1154">
        <f>IF(ISNUMBER(((NºAsuntos!G23/NºAsuntos!E23)-Datos!BD23)/Datos!BD23),((NºAsuntos!G23/NºAsuntos!E23)-Datos!BD23)/Datos!BD23," - ")</f>
        <v>-6.7445664874970876E-2</v>
      </c>
      <c r="I23" s="1154">
        <f>IF(ISNUMBER(((NºAsuntos!I23/NºAsuntos!G23)-Datos!BE23)/Datos!BE23),((NºAsuntos!I23/NºAsuntos!G23)-Datos!BE23)/Datos!BE23," - ")</f>
        <v>3.7600880410859215E-3</v>
      </c>
      <c r="J23" s="1154">
        <f>IF(ISNUMBER((('Resol  Asuntos'!D23/NºAsuntos!G23)-Datos!BF23)/Datos!BF23),(('Resol  Asuntos'!D23/NºAsuntos!G23)-Datos!BF23)/Datos!BF23," - ")</f>
        <v>-5.1724137931034447E-2</v>
      </c>
      <c r="K23" s="1154">
        <f>IF(ISNUMBER((((NºAsuntos!C23+NºAsuntos!E23)/NºAsuntos!G23)-Datos!BG23)/Datos!BG23),(((NºAsuntos!C23+NºAsuntos!E23)/NºAsuntos!G23)-Datos!BG23)/Datos!BG23," - ")</f>
        <v>5.6284116628944218E-2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0.17280453257790368</v>
      </c>
      <c r="C31" s="1092">
        <f>IF(ISNUMBER(
   IF(J_V="SI",(Datos!J31-Datos!T31)/Datos!T31,(Datos!J31+Datos!Z31-(Datos!T31+Datos!AH31))/(Datos!T31+Datos!AH31))
     ),IF(J_V="SI",(Datos!J31-Datos!T31)/Datos!T31,(Datos!J31+Datos!Z31-(Datos!T31+Datos!AH31))/(Datos!T31+Datos!AH31))," - ")</f>
        <v>0.24382716049382716</v>
      </c>
      <c r="D31" s="1092">
        <f>IF(ISNUMBER(
   IF(J_V="SI",(Datos!K31-Datos!U31)/Datos!U31,(Datos!K31+Datos!AA31-(Datos!U31+Datos!AI31))/(Datos!U31+Datos!AI31))
     ),IF(J_V="SI",(Datos!K31-Datos!U31)/Datos!U31,(Datos!K31+Datos!AA31-(Datos!U31+Datos!AI31))/(Datos!U31+Datos!AI31))," - ")</f>
        <v>7.6660988074957415E-2</v>
      </c>
      <c r="E31" s="1092">
        <f>IF(ISNUMBER(
   IF(J_V="SI",(Datos!L31-Datos!V31)/Datos!V31,(Datos!L31+Datos!AB31-(Datos!V31+Datos!AJ31))/(Datos!V31+Datos!AJ31))
     ),IF(J_V="SI",(Datos!L31-Datos!V31)/Datos!V31,(Datos!L31+Datos!AB31-(Datos!V31+Datos!AJ31))/(Datos!V31+Datos!AJ31))," - ")</f>
        <v>0.26570048309178745</v>
      </c>
      <c r="F31" s="1093">
        <f>IF(ISNUMBER((Datos!M31-Datos!W31)/Datos!W31),(Datos!M31-Datos!W31)/Datos!W31," - ")</f>
        <v>-0.18181818181818182</v>
      </c>
      <c r="G31" s="1094">
        <f>IF(ISNUMBER((Datos!N31-Datos!X31)/Datos!X31),(Datos!N31-Datos!X31)/Datos!X31," - ")</f>
        <v>0.15282392026578073</v>
      </c>
      <c r="H31" s="1095">
        <f>IF(ISNUMBER((Tasas!B31-Datos!BD31)/Datos!BD31),(Tasas!B31-Datos!BD31)/Datos!BD31," - ")</f>
        <v>-0.13439662497199462</v>
      </c>
      <c r="I31" s="1096">
        <f>IF(ISNUMBER((Tasas!C31-Datos!BE31)/Datos!BE31),(Tasas!C31-Datos!BE31)/Datos!BE31," - ")</f>
        <v>0.17557940439063166</v>
      </c>
      <c r="J31" s="1097">
        <f>IF(ISNUMBER((Tasas!D31-Datos!BF31)/Datos!BF31),(Tasas!D31-Datos!BF31)/Datos!BF31," - ")</f>
        <v>-0.21409444985394346</v>
      </c>
      <c r="K31" s="1097">
        <f>IF(ISNUMBER((Tasas!E31-Datos!BG31)/Datos!BG31),(Tasas!E31-Datos!BG31)/Datos!BG31," - ")</f>
        <v>0.13200091048192311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L1l2hf60hgBGqWVBiWetQQ1NghH9nuyd91Ri10dFrq7f7gl4HwrTfuSVigvz7VhSTKqUmIc7BC2XQ0ddjqiSA==" saltValue="dGf+EjIiNcy31uzicEm6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PIEDRAHITA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0.68269230769230771</v>
      </c>
      <c r="C12" s="498">
        <f>IF(ISNUMBER(NºAsuntos!I12/NºAsuntos!G12),NºAsuntos!I12/NºAsuntos!G12," - ")</f>
        <v>1.1408450704225352</v>
      </c>
      <c r="D12" s="499">
        <f>IF(ISNUMBER('Resol  Asuntos'!D12/NºAsuntos!G12),'Resol  Asuntos'!D12/NºAsuntos!G12," - ")</f>
        <v>0.21126760563380281</v>
      </c>
      <c r="E12" s="500">
        <f>IF(ISNUMBER((NºAsuntos!C12+NºAsuntos!E12)/NºAsuntos!G12),(NºAsuntos!C12+NºAsuntos!E12)/NºAsuntos!G12," - ")</f>
        <v>2.26056338028169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0.68105515587529974</v>
      </c>
      <c r="C14" s="1156">
        <f>IF(ISNUMBER(NºAsuntos!I14/NºAsuntos!G14),NºAsuntos!I14/NºAsuntos!G14," - ")</f>
        <v>1.1443661971830985</v>
      </c>
      <c r="D14" s="1157">
        <f>IF(ISNUMBER('Resol  Asuntos'!D14/NºAsuntos!G14),'Resol  Asuntos'!D14/NºAsuntos!G14," - ")</f>
        <v>0.21126760563380281</v>
      </c>
      <c r="E14" s="1158">
        <f>IF(ISNUMBER((NºAsuntos!C14+NºAsuntos!E14)/NºAsuntos!G14),(NºAsuntos!C14+NºAsuntos!E14)/NºAsuntos!G14," - ")</f>
        <v>2.2640845070422535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0.89037433155080214</v>
      </c>
      <c r="C17" s="498">
        <f>IF(ISNUMBER(NºAsuntos!I17/NºAsuntos!G17),NºAsuntos!I17/NºAsuntos!G17," - ")</f>
        <v>0.57357357357357353</v>
      </c>
      <c r="D17" s="499">
        <f>IF(ISNUMBER('Resol  Asuntos'!D17/NºAsuntos!G17),'Resol  Asuntos'!D17/NºAsuntos!G17," - ")</f>
        <v>0.11411411411411411</v>
      </c>
      <c r="E17" s="500">
        <f>IF(ISNUMBER((NºAsuntos!C17+NºAsuntos!E17)/NºAsuntos!G17),(NºAsuntos!C17+NºAsuntos!E17)/NºAsuntos!G17," - ")</f>
        <v>1.6276276276276276</v>
      </c>
      <c r="G17" s="523"/>
    </row>
    <row r="18" spans="1:7">
      <c r="A18" s="450" t="str">
        <f>Datos!A18</f>
        <v>Jdos. Violencia contra la mujer</v>
      </c>
      <c r="B18" s="497">
        <f>IF(ISNUMBER(NºAsuntos!G18/NºAsuntos!E18),NºAsuntos!G18/NºAsuntos!E18," - ")</f>
        <v>1</v>
      </c>
      <c r="C18" s="498">
        <f>IF(ISNUMBER(NºAsuntos!I18/NºAsuntos!G18),NºAsuntos!I18/NºAsuntos!G18," - ")</f>
        <v>0.53333333333333333</v>
      </c>
      <c r="D18" s="499">
        <f>IF(ISNUMBER('Resol  Asuntos'!D18/NºAsuntos!G18),'Resol  Asuntos'!D18/NºAsuntos!G18," - ")</f>
        <v>6.6666666666666666E-2</v>
      </c>
      <c r="E18" s="500">
        <f>IF(ISNUMBER((NºAsuntos!C18+NºAsuntos!E18)/NºAsuntos!G18),(NºAsuntos!C18+NºAsuntos!E18)/NºAsuntos!G18," - ")</f>
        <v>2.3333333333333335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0.8946015424164524</v>
      </c>
      <c r="C23" s="1156">
        <f>IF(ISNUMBER(NºAsuntos!I23/NºAsuntos!G23),NºAsuntos!I23/NºAsuntos!G23," - ")</f>
        <v>0.57183908045977017</v>
      </c>
      <c r="D23" s="1159">
        <f>IF(ISNUMBER('Resol  Asuntos'!D23/NºAsuntos!G23),'Resol  Asuntos'!D23/NºAsuntos!G23," - ")</f>
        <v>0.11206896551724138</v>
      </c>
      <c r="E23" s="1158">
        <f>IF(ISNUMBER((NºAsuntos!C23+NºAsuntos!E23)/NºAsuntos!G23),(NºAsuntos!C23+NºAsuntos!E23)/NºAsuntos!G23," - ")</f>
        <v>1.6580459770114941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0.78411910669975182</v>
      </c>
      <c r="C31" s="1099">
        <f>IF(ISNUMBER(NºAsuntos!I31/NºAsuntos!G31),NºAsuntos!I31/NºAsuntos!G31," - ")</f>
        <v>0.82911392405063289</v>
      </c>
      <c r="D31" s="1100">
        <f>IF(ISNUMBER('Resol  Asuntos'!D31/NºAsuntos!G31),'Resol  Asuntos'!D31/NºAsuntos!G31," - ")</f>
        <v>0.15664556962025317</v>
      </c>
      <c r="E31" s="1101">
        <f>IF(ISNUMBER((NºAsuntos!C31+NºAsuntos!E31)/NºAsuntos!G31),(NºAsuntos!C31+NºAsuntos!E31)/NºAsuntos!G31," - ")</f>
        <v>1.9303797468354431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UR0INosWvtcTAqq5AnHCOsz41envpKD5dn4qrlROIpyiyCyOSD1VAtolYp2qkXn9LBkP4XUppWOgFgzzyIYKg==" saltValue="p6I8mqVp+agDgJ4x+zsr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PIEDRAHITA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175</v>
      </c>
      <c r="Y12" s="374">
        <f t="shared" si="0"/>
        <v>175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0.68269230769230771</v>
      </c>
      <c r="AM12" s="284">
        <f>IF(ISNUMBER(((NºAsuntos!I12/NºAsuntos!G12)*11)/factor_trimestre),((NºAsuntos!I12/NºAsuntos!G12)*11)/factor_trimestre," - ")</f>
        <v>12.549295774647888</v>
      </c>
      <c r="AN12" s="267">
        <f>IF(ISNUMBER('Resol  Asuntos'!D12/NºAsuntos!G12),'Resol  Asuntos'!D12/NºAsuntos!G12," - ")</f>
        <v>0.21126760563380281</v>
      </c>
      <c r="AO12" s="268">
        <f>IF(ISNUMBER((NºAsuntos!C12+NºAsuntos!E12)/NºAsuntos!G12),(NºAsuntos!C12+NºAsuntos!E12)/NºAsuntos!G12," - ")</f>
        <v>2.26056338028169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175</v>
      </c>
      <c r="Y14" s="1165">
        <f t="shared" si="6"/>
        <v>175</v>
      </c>
      <c r="Z14" s="1165">
        <f t="shared" si="6"/>
        <v>0</v>
      </c>
      <c r="AA14" s="1165">
        <f t="shared" si="6"/>
        <v>1</v>
      </c>
      <c r="AB14" s="1165">
        <f t="shared" si="6"/>
        <v>234</v>
      </c>
      <c r="AC14" s="1165">
        <f t="shared" si="6"/>
        <v>1</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0.68105515587529974</v>
      </c>
      <c r="AM14" s="1171">
        <f>IF(ISNUMBER(((NºAsuntos!I14/NºAsuntos!G14)*11)/factor_trimestre),((NºAsuntos!I14/NºAsuntos!G14)*11)/factor_trimestre," - ")</f>
        <v>12.588028169014084</v>
      </c>
      <c r="AN14" s="1172">
        <f>IF(ISNUMBER('Resol  Asuntos'!D14/NºAsuntos!G14),'Resol  Asuntos'!D14/NºAsuntos!G14," - ")</f>
        <v>0.21126760563380281</v>
      </c>
      <c r="AO14" s="1173">
        <f>IF(ISNUMBER((NºAsuntos!C14+NºAsuntos!E14)/NºAsuntos!G14),(NºAsuntos!C14+NºAsuntos!E14)/NºAsuntos!G14," - ")</f>
        <v>2.2640845070422535</v>
      </c>
      <c r="AP14" s="1174" t="str">
        <f t="shared" si="2"/>
        <v xml:space="preserve"> - </v>
      </c>
      <c r="AQ14" s="1174" t="str">
        <f>IF(ISNUMBER((H14-W14+K14)/(F14)),(H14-W14+K14)/(F14)," - ")</f>
        <v xml:space="preserve"> - </v>
      </c>
      <c r="AR14" s="1175">
        <f>IF(ISNUMBER((Datos!P14-Datos!Q14)/(Datos!R14-Datos!P14+Datos!Q14)),(Datos!P14-Datos!Q14)/(Datos!R14-Datos!P14+Datos!Q14)," - ")</f>
        <v>-0.36756756756756759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150</v>
      </c>
      <c r="G17" s="373">
        <f>IF(ISNUMBER(IF(D_I="SI",Datos!I17,Datos!I17+Datos!AC17)),IF(D_I="SI",Datos!I17,Datos!I17+Datos!AC17)," - ")</f>
        <v>168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333</v>
      </c>
      <c r="X17" s="240">
        <f>IF(ISNUMBER(Datos!Q17),Datos!Q17," - ")</f>
        <v>10</v>
      </c>
      <c r="Y17" s="374">
        <f t="shared" ref="Y17:Y22" si="9">SUM(W17:X17)</f>
        <v>343</v>
      </c>
      <c r="Z17" s="375" t="str">
        <f>IF(ISNUMBER(Datos!CC17),Datos!CC17," - ")</f>
        <v xml:space="preserve"> - </v>
      </c>
      <c r="AA17" s="372">
        <f>IF(ISNUMBER(IF(D_I="SI",Datos!L17,Datos!L17+Datos!AF17)),IF(D_I="SI",Datos!L17,Datos!L17+Datos!AF17)," - ")</f>
        <v>191</v>
      </c>
      <c r="AB17" s="374">
        <f>IF(ISNUMBER(Datos!R17),Datos!R17," - ")</f>
        <v>27</v>
      </c>
      <c r="AC17" s="374">
        <f t="shared" si="8"/>
        <v>218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0.89037433155080214</v>
      </c>
      <c r="AM17" s="284">
        <f>IF(ISNUMBER(((NºAsuntos!I17/NºAsuntos!G17)*11)/factor_trimestre),((NºAsuntos!I17/NºAsuntos!G17)*11)/factor_trimestre," - ")</f>
        <v>6.3093093093093087</v>
      </c>
      <c r="AN17" s="267">
        <f>IF(ISNUMBER('Resol  Asuntos'!D17/NºAsuntos!G17),'Resol  Asuntos'!D17/NºAsuntos!G17," - ")</f>
        <v>0.11411411411411411</v>
      </c>
      <c r="AO17" s="268">
        <f>IF(ISNUMBER((NºAsuntos!C17+NºAsuntos!E17)/NºAsuntos!G17),(NºAsuntos!C17+NºAsuntos!E17)/NºAsuntos!G17," - ")</f>
        <v>1.6276276276276276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5.8666666666666663</v>
      </c>
      <c r="AN18" s="267">
        <f>IF(ISNUMBER('Resol  Asuntos'!D18/NºAsuntos!G18),'Resol  Asuntos'!D18/NºAsuntos!G18," - ")</f>
        <v>6.6666666666666666E-2</v>
      </c>
      <c r="AO18" s="268">
        <f>IF(ISNUMBER((NºAsuntos!C18+NºAsuntos!E18)/NºAsuntos!G18),(NºAsuntos!C18+NºAsuntos!E18)/NºAsuntos!G18," - ")</f>
        <v>2.3333333333333335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150</v>
      </c>
      <c r="G23" s="1163">
        <f>SUBTOTAL(9,G16:G22)</f>
        <v>188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348</v>
      </c>
      <c r="X23" s="1164">
        <f t="shared" si="14"/>
        <v>10</v>
      </c>
      <c r="Y23" s="1165">
        <f t="shared" si="14"/>
        <v>358</v>
      </c>
      <c r="Z23" s="1165">
        <f t="shared" si="14"/>
        <v>0</v>
      </c>
      <c r="AA23" s="1165">
        <f t="shared" si="14"/>
        <v>199</v>
      </c>
      <c r="AB23" s="1165">
        <f t="shared" si="14"/>
        <v>27</v>
      </c>
      <c r="AC23" s="1165">
        <f t="shared" si="14"/>
        <v>226</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0.8946015424164524</v>
      </c>
      <c r="AM23" s="1171">
        <f>IF(ISNUMBER(((NºAsuntos!I23/NºAsuntos!G23)*11)/factor_trimestre),((NºAsuntos!I23/NºAsuntos!G23)*11)/factor_trimestre," - ")</f>
        <v>6.2902298850574718</v>
      </c>
      <c r="AN23" s="1172">
        <f>IF(ISNUMBER('Resol  Asuntos'!D23/NºAsuntos!G23),'Resol  Asuntos'!D23/NºAsuntos!G23," - ")</f>
        <v>0.11206896551724138</v>
      </c>
      <c r="AO23" s="1173">
        <f>IF(ISNUMBER((NºAsuntos!C23+NºAsuntos!E23)/NºAsuntos!G23),(NºAsuntos!C23+NºAsuntos!E23)/NºAsuntos!G23," - ")</f>
        <v>1.6580459770114941</v>
      </c>
      <c r="AP23" s="1174" t="str">
        <f t="shared" si="2"/>
        <v xml:space="preserve"> - </v>
      </c>
      <c r="AQ23" s="1174">
        <f>IF(ISNUMBER((H23-W23+K23)/(F23)),(H23-W23+K23)/(F23)," - ")</f>
        <v>-2.3199999999999998</v>
      </c>
      <c r="AR23" s="1175">
        <f>IF(ISNUMBER((Datos!P23-Datos!Q23)/(Datos!R23-Datos!P23+Datos!Q23)),(Datos!P23-Datos!Q23)/(Datos!R23-Datos!P23+Datos!Q23)," - ")</f>
        <v>0.08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150</v>
      </c>
      <c r="G31" s="1118">
        <f t="shared" si="20"/>
        <v>188</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v>
      </c>
      <c r="X31" s="1118">
        <f t="shared" si="21"/>
        <v>185</v>
      </c>
      <c r="Y31" s="1125">
        <f t="shared" si="21"/>
        <v>533</v>
      </c>
      <c r="Z31" s="1125">
        <f t="shared" si="21"/>
        <v>0</v>
      </c>
      <c r="AA31" s="1125">
        <f t="shared" si="21"/>
        <v>200</v>
      </c>
      <c r="AB31" s="1125">
        <f t="shared" si="21"/>
        <v>261</v>
      </c>
      <c r="AC31" s="1125">
        <f t="shared" si="21"/>
        <v>227</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0.78411910669975182</v>
      </c>
      <c r="AM31" s="1184">
        <f>IF(ISNUMBER(((NºAsuntos!I31/NºAsuntos!G31)*11)/factor_trimestre),((NºAsuntos!I31/NºAsuntos!G31)*11)/factor_trimestre," - ")</f>
        <v>9.1202531645569618</v>
      </c>
      <c r="AN31" s="1184">
        <f>IF(ISNUMBER('Resol  Asuntos'!D31/NºAsuntos!G31),'Resol  Asuntos'!D31/NºAsuntos!G31," - ")</f>
        <v>0.15664556962025317</v>
      </c>
      <c r="AO31" s="1185">
        <f>IF(ISNUMBER((NºAsuntos!C31+NºAsuntos!E31)/NºAsuntos!G31),(NºAsuntos!C31+NºAsuntos!E31)/NºAsuntos!G31," - ")</f>
        <v>1.9303797468354431</v>
      </c>
      <c r="AP31" s="1186" t="str">
        <f t="shared" si="2"/>
        <v xml:space="preserve"> - </v>
      </c>
      <c r="AQ31" s="1187">
        <f>IF(OR(ISNUMBER(FIND("01",Criterios!A8,1)),ISNUMBER(FIND("02",Criterios!A8,1)),ISNUMBER(FIND("03",Criterios!A8,1)),ISNUMBER(FIND("04",Criterios!A8,1))),(I31-W31+K31)/(F31-K31),(H31-W31+K31)/(F31-K31))</f>
        <v>-2.3199999999999998</v>
      </c>
      <c r="AR31" s="1188">
        <f>IF(ISNUMBER((Datos!P31-Datos!Q31)/(Datos!R31-Datos!P31+Datos!Q31)),(Datos!P31-Datos!Q31)/(Datos!R31-Datos!P31+Datos!Q31)," - ")</f>
        <v>-0.3392405063291139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77.459666924148337</v>
      </c>
      <c r="G33" s="277">
        <f>IF(ISNUMBER(STDEV(G8:G30)),STDEV(G8:G30),"-")</f>
        <v>85.412165967373141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164.83108236702722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27.426525221294177</v>
      </c>
      <c r="AJ33" s="276">
        <f t="shared" si="25"/>
        <v>0</v>
      </c>
      <c r="AK33" s="278">
        <f t="shared" si="25"/>
        <v>0</v>
      </c>
      <c r="AL33" s="273">
        <f t="shared" si="25"/>
        <v>0.36175472180395252</v>
      </c>
      <c r="AM33" s="274">
        <f t="shared" si="25"/>
        <v>3.5171675067758734</v>
      </c>
      <c r="AN33" s="274">
        <f t="shared" si="25"/>
        <v>6.5074579128187995E-2</v>
      </c>
      <c r="AO33" s="275">
        <f t="shared" si="25"/>
        <v>0.35362812702496982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1XyzW3wJXnG+Zc+8YDQszDNP8F+YLU4RFk7bDEqFu1xcdvtZk19sjWEAyqR7zi5syVUR3hoz7zkQDdhCcU1/A==" saltValue="kpK6lwPcaGivV2nPu/jy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PIEDRAHITA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-0.25925925925925924</v>
      </c>
      <c r="I12" s="395">
        <f>IF(ISNUMBER((Tasas!C12-Datos!BE12)/Datos!BE12),(Tasas!C12-Datos!BE12)/Datos!BE12," - ")</f>
        <v>0.29228468154057091</v>
      </c>
      <c r="J12" s="394">
        <f>IF(ISNUMBER((Tasas!D12-Datos!BF12)/Datos!BF12),(Tasas!D12-Datos!BF12)/Datos!BF12," - ")</f>
        <v>-0.29760380464605818</v>
      </c>
      <c r="K12" s="396">
        <f>IF(ISNUMBER((Tasas!E12-Datos!BG12)/Datos!BG12),(Tasas!E12-Datos!BG12)/Datos!BG12," - ")</f>
        <v>0.20063117292969429</v>
      </c>
      <c r="M12" t="e">
        <f>IF(Monitorios="SI",Datos!CE12,0)</f>
        <v>#REF!</v>
      </c>
      <c r="N12" t="e">
        <f>IF(Monitorios="SI",Datos!CF12,0)</f>
        <v>#REF!</v>
      </c>
      <c r="O12" t="e">
        <f>IF(Monitorios="SI",Datos!CG12,0)</f>
        <v>#REF!</v>
      </c>
      <c r="P12" t="e">
        <f>IF(Monitorios="SI",Datos!CH12,0)</f>
        <v>#REF!</v>
      </c>
      <c r="Q12">
        <f>IF(J_V="SI",0,Datos!AG12)</f>
        <v>18</v>
      </c>
      <c r="R12">
        <f>IF(J_V="SI",0,Datos!AH12)</f>
        <v>40</v>
      </c>
      <c r="S12">
        <f>IF(J_V="SI",0,Datos!AI12)</f>
        <v>33</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-0.26829268292682928</v>
      </c>
      <c r="I14" s="402">
        <f>IF(ISNUMBER((Tasas!C14-Datos!BE14)/Datos!BE14),(Tasas!C14-Datos!BE14)/Datos!BE14," - ")</f>
        <v>0.30133678175246159</v>
      </c>
      <c r="J14" s="400">
        <f>IF(ISNUMBER((Tasas!D14-Datos!BF14)/Datos!BF14),(Tasas!D14-Datos!BF14)/Datos!BF14," - ")</f>
        <v>-0.30390032502708553</v>
      </c>
      <c r="K14" s="403">
        <f>IF(ISNUMBER((Tasas!E14-Datos!BG14)/Datos!BG14),(Tasas!E14-Datos!BG14)/Datos!BG14," - ")</f>
        <v>0.20469920975126119</v>
      </c>
      <c r="M14" t="e">
        <f>IF(Monitorios="SI",Datos!CE14,0)</f>
        <v>#REF!</v>
      </c>
      <c r="N14" t="e">
        <f>IF(Monitorios="SI",Datos!CF14,0)</f>
        <v>#REF!</v>
      </c>
      <c r="O14" t="e">
        <f>IF(Monitorios="SI",Datos!CG14,0)</f>
        <v>#REF!</v>
      </c>
      <c r="P14" t="e">
        <f>IF(Monitorios="SI",Datos!CH14,0)</f>
        <v>#REF!</v>
      </c>
      <c r="Q14">
        <f>IF(J_V="SI",0,Datos!AG14)</f>
        <v>18</v>
      </c>
      <c r="R14">
        <f>IF(J_V="SI",0,Datos!AH14)</f>
        <v>40</v>
      </c>
      <c r="S14">
        <f>IF(J_V="SI",0,Datos!AI14)</f>
        <v>33</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0.05</v>
      </c>
      <c r="E17" s="393">
        <f>IF(ISNUMBER(
   IF(D_I="SI",(Datos!J17-Datos!T17)/Datos!T17,(Datos!J17+Datos!AD17-(Datos!T17+Datos!AL17))/(Datos!T17+Datos!AL17))
     ),IF(D_I="SI",(Datos!J17-Datos!T17)/Datos!T17,(Datos!J17+Datos!AD17-(Datos!T17+Datos!AL17))/(Datos!T17+Datos!AL17))," - ")</f>
        <v>0.1761006289308176</v>
      </c>
      <c r="F17" s="393">
        <f>IF(ISNUMBER(
   IF(D_I="SI",(Datos!K17-Datos!U17)/Datos!U17,(Datos!K17+Datos!AE17-(Datos!U17+Datos!AM17))/(Datos!U17+Datos!AM17))
     ),IF(D_I="SI",(Datos!K17-Datos!U17)/Datos!U17,(Datos!K17+Datos!AE17-(Datos!U17+Datos!AM17))/(Datos!U17+Datos!AM17))," - ")</f>
        <v>7.4193548387096769E-2</v>
      </c>
      <c r="G17" s="394">
        <f>IF(ISNUMBER(
   IF(D_I="SI",(Datos!L17-Datos!V17)/Datos!V17,(Datos!L17+Datos!AF17-(Datos!V17+Datos!AN17))/(Datos!V17+Datos!AN17))
     ),IF(D_I="SI",(Datos!L17-Datos!V17)/Datos!V17,(Datos!L17+Datos!AF17-(Datos!V17+Datos!AN17))/(Datos!V17+Datos!AN17))," - ")</f>
        <v>0.13690476190476192</v>
      </c>
      <c r="H17" s="244">
        <f>IF(ISNUMBER((Datos!M17-Datos!W17)/Datos!W17),(Datos!M17-Datos!W17)/Datos!W17," - ")</f>
        <v>2.7027027027027029E-2</v>
      </c>
      <c r="I17" s="395">
        <f>IF(ISNUMBER((Tasas!C17-Datos!BE17)/Datos!BE17),(Tasas!C17-Datos!BE17)/Datos!BE17," - ")</f>
        <v>5.837980837980819E-2</v>
      </c>
      <c r="J17" s="394">
        <f>IF(ISNUMBER((Tasas!D17-Datos!BF17)/Datos!BF17),(Tasas!D17-Datos!BF17)/Datos!BF17," - ")</f>
        <v>-4.3908773638503401E-2</v>
      </c>
      <c r="K17" s="396">
        <f>IF(ISNUMBER((Tasas!E17-Datos!BG17)/Datos!BG17),(Tasas!E17-Datos!BG17)/Datos!BG17," - ")</f>
        <v>5.5574402854737519E-2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-0.42307692307692307</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-0.5</v>
      </c>
      <c r="I18" s="395">
        <f>IF(ISNUMBER((Tasas!C18-Datos!BE18)/Datos!BE18),(Tasas!C18-Datos!BE18)/Datos!BE18," - ")</f>
        <v>-0.46666666666666667</v>
      </c>
      <c r="J18" s="394">
        <f>IF(ISNUMBER((Tasas!D18-Datos!BF18)/Datos!BF18),(Tasas!D18-Datos!BF18)/Datos!BF18," - ")</f>
        <v>-0.33333333333333337</v>
      </c>
      <c r="K18" s="396">
        <f>IF(ISNUMBER((Tasas!E18-Datos!BG18)/Datos!BG18),(Tasas!E18-Datos!BG18)/Datos!BG18," - ")</f>
        <v>0.16666666666666674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8.0459770114942528E-2</v>
      </c>
      <c r="E23" s="399">
        <f>IF(ISNUMBER(
   IF(D_I="SI",(Datos!J23-Datos!T23)/Datos!T23,(Datos!J23+Datos!AD23-(Datos!T23+Datos!AL23))/(Datos!T23+Datos!AL23))
     ),IF(D_I="SI",(Datos!J23-Datos!T23)/Datos!T23,(Datos!J23+Datos!AD23-(Datos!T23+Datos!AL23))/(Datos!T23+Datos!AL23))," - ")</f>
        <v>0.1308139534883721</v>
      </c>
      <c r="F23" s="399">
        <f>IF(ISNUMBER(
   IF(D_I="SI",(Datos!K23-Datos!U23)/Datos!U23,(Datos!K23+Datos!AE23-(Datos!U23+Datos!AM23))/(Datos!U23+Datos!AM23))
     ),IF(D_I="SI",(Datos!K23-Datos!U23)/Datos!U23,(Datos!K23+Datos!AE23-(Datos!U23+Datos!AM23))/(Datos!U23+Datos!AM23))," - ")</f>
        <v>5.4545454545454543E-2</v>
      </c>
      <c r="G23" s="400">
        <f>IF(ISNUMBER(
   IF(D_I="SI",(Datos!L23-Datos!V23)/Datos!V23,(Datos!L23+Datos!AF23-(Datos!V23+Datos!AN23))/(Datos!V23+Datos!AN23))
     ),IF(D_I="SI",(Datos!L23-Datos!V23)/Datos!V23,(Datos!L23+Datos!AF23-(Datos!V23+Datos!AN23))/(Datos!V23+Datos!AN23))," - ")</f>
        <v>5.8510638297872342E-2</v>
      </c>
      <c r="H23" s="401">
        <f>IF(ISNUMBER((Datos!M23-Datos!W23)/Datos!W23),(Datos!M23-Datos!W23)/Datos!W23," - ")</f>
        <v>0</v>
      </c>
      <c r="I23" s="402">
        <f>IF(ISNUMBER((Tasas!C23-Datos!BE23)/Datos!BE23),(Tasas!C23-Datos!BE23)/Datos!BE23," - ")</f>
        <v>3.7600880410859215E-3</v>
      </c>
      <c r="J23" s="400">
        <f>IF(ISNUMBER((Tasas!D23-Datos!BF23)/Datos!BF23),(Tasas!D23-Datos!BF23)/Datos!BF23," - ")</f>
        <v>-5.1724137931034447E-2</v>
      </c>
      <c r="K23" s="403">
        <f>IF(ISNUMBER((Tasas!E23-Datos!BG23)/Datos!BG23),(Tasas!E23-Datos!BG23)/Datos!BG23," - ")</f>
        <v>5.6284116628944218E-2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0.17280453257790368</v>
      </c>
      <c r="E31" s="409">
        <f>IF(ISNUMBER(
   IF(J_V="SI",(Datos!J31-Datos!T31)/Datos!T31,(Datos!J31+Datos!Z31-(Datos!T31+Datos!AH31))/(Datos!T31+Datos!AH31))
     ),IF(J_V="SI",(Datos!J31-Datos!T31)/Datos!T31,(Datos!J31+Datos!Z31-(Datos!T31+Datos!AH31))/(Datos!T31+Datos!AH31))," - ")</f>
        <v>0.24382716049382716</v>
      </c>
      <c r="F31" s="409">
        <f>IF(ISNUMBER(
   IF(J_V="SI",(Datos!K31-Datos!U31)/Datos!U31,(Datos!K31+Datos!AA31-(Datos!U31+Datos!AI31))/(Datos!U31+Datos!AI31))
     ),IF(J_V="SI",(Datos!K31-Datos!U31)/Datos!U31,(Datos!K31+Datos!AA31-(Datos!U31+Datos!AI31))/(Datos!U31+Datos!AI31))," - ")</f>
        <v>7.6660988074957415E-2</v>
      </c>
      <c r="G31" s="410">
        <f>IF(ISNUMBER(
   IF(J_V="SI",(Datos!L31-Datos!V31)/Datos!V31,(Datos!L31+Datos!AB31-(Datos!V31+Datos!AJ31))/(Datos!V31+Datos!AJ31))
     ),IF(J_V="SI",(Datos!L31-Datos!V31)/Datos!V31,(Datos!L31+Datos!AB31-(Datos!V31+Datos!AJ31))/(Datos!V31+Datos!AJ31))," - ")</f>
        <v>0.26570048309178745</v>
      </c>
      <c r="H31" s="411">
        <f>IF(ISNUMBER((Datos!M31-Datos!W31)/Datos!W31),(Datos!M31-Datos!W31)/Datos!W31," - ")</f>
        <v>-0.18181818181818182</v>
      </c>
      <c r="I31" s="408">
        <f>IF(ISNUMBER((Tasas!C31-Datos!BE31)/Datos!BE31),(Tasas!C31-Datos!BE31)/Datos!BE31," - ")</f>
        <v>0.17557940439063166</v>
      </c>
      <c r="J31" s="409">
        <f>IF(ISNUMBER((Tasas!D31-Datos!BF31)/Datos!BF31),(Tasas!D31-Datos!BF31)/Datos!BF31," - ")</f>
        <v>-0.21409444985394346</v>
      </c>
      <c r="K31" s="410">
        <f>IF(ISNUMBER((Tasas!E31-Datos!BG31)/Datos!BG31),(Tasas!E31-Datos!BG31)/Datos!BG31," - ")</f>
        <v>0.13200091048192311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0.61753107156960396</v>
      </c>
      <c r="E33" s="303">
        <f t="shared" si="1"/>
        <v>0.33363146457952902</v>
      </c>
      <c r="F33" s="303">
        <f t="shared" si="1"/>
        <v>0.50221951818823418</v>
      </c>
      <c r="G33" s="304">
        <f t="shared" si="1"/>
        <v>0.40472429452766101</v>
      </c>
      <c r="H33" s="310">
        <f t="shared" si="1"/>
        <v>0.38023943282751732</v>
      </c>
      <c r="I33" s="302">
        <f t="shared" si="1"/>
        <v>0.31236314946660793</v>
      </c>
      <c r="J33" s="303">
        <f t="shared" si="1"/>
        <v>0.14514137200835264</v>
      </c>
      <c r="K33" s="304">
        <f t="shared" si="1"/>
        <v>7.5261444370204503E-2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TkqExmK0rrBg2ZdtKyrStwAMfcL9eYFhLM4aNMIHM6w8/8LGE62jB6HqRnNhV17HWG/T39bxtMwcZqGrsRS4Q==" saltValue="0AvBu/m4Z+i1HbXjVXZgx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